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vsd" ContentType="application/vnd.visio"/>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comments2.xml" ContentType="application/vnd.openxmlformats-officedocument.spreadsheetml.comments+xml"/>
  <Override PartName="/xl/drawings/drawing5.xml" ContentType="application/vnd.openxmlformats-officedocument.drawing+xml"/>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comments3.xml" ContentType="application/vnd.openxmlformats-officedocument.spreadsheetml.comments+xml"/>
  <Override PartName="/xl/drawings/drawing6.xml" ContentType="application/vnd.openxmlformats-officedocument.drawing+xml"/>
  <Override PartName="/xl/embeddings/oleObject4.bin" ContentType="application/vnd.openxmlformats-officedocument.oleObject"/>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827" codeName="{2E6947BB-A706-504E-29CB-9DD9B7763434}"/>
  <workbookPr codeName="DieseArbeitsmappe" defaultThemeVersion="124226"/>
  <mc:AlternateContent xmlns:mc="http://schemas.openxmlformats.org/markup-compatibility/2006">
    <mc:Choice Requires="x15">
      <x15ac:absPath xmlns:x15ac="http://schemas.microsoft.com/office/spreadsheetml/2010/11/ac" url="D:\Designs\FC360EN_MP2\Quantitiy tool\"/>
    </mc:Choice>
  </mc:AlternateContent>
  <xr:revisionPtr revIDLastSave="0" documentId="13_ncr:1_{7EEF3BBF-BE5F-4735-BF35-C0F027FFA48B}" xr6:coauthVersionLast="45" xr6:coauthVersionMax="45" xr10:uidLastSave="{00000000-0000-0000-0000-000000000000}"/>
  <bookViews>
    <workbookView xWindow="22932" yWindow="324" windowWidth="20376" windowHeight="12216" tabRatio="457" xr2:uid="{00000000-000D-0000-FFFF-FFFF00000000}"/>
  </bookViews>
  <sheets>
    <sheet name="Cover" sheetId="22" r:id="rId1"/>
    <sheet name="RevisionNotes" sheetId="26" state="hidden" r:id="rId2"/>
    <sheet name="Instructions" sheetId="1931" r:id="rId3"/>
    <sheet name="FC360_Panel" sheetId="1871" r:id="rId4"/>
    <sheet name="C-NET_Module2" sheetId="1965" r:id="rId5"/>
    <sheet name="Panel_values" sheetId="32" state="hidden" r:id="rId6"/>
    <sheet name="FDnet_Ref" sheetId="1798" state="hidden" r:id="rId7"/>
    <sheet name="FDnet_Constants" sheetId="1799" state="hidden" r:id="rId8"/>
    <sheet name="Panel_comp" sheetId="1898" state="hidden" r:id="rId9"/>
  </sheets>
  <functionGroups builtInGroupCount="19"/>
  <externalReferences>
    <externalReference r:id="rId10"/>
    <externalReference r:id="rId11"/>
  </externalReferences>
  <definedNames>
    <definedName name="C_FDCL">FDnet_Constants!$C$49</definedName>
    <definedName name="CmaxGreatRc" localSheetId="2">[1]FDnet_Constants!$C$23</definedName>
    <definedName name="CmaxGreatRc" localSheetId="8">[2]FDnet_Constants!$C$23</definedName>
    <definedName name="CmaxGreatRc">FDnet_Constants!$C$31</definedName>
    <definedName name="CmaxSmalRc" localSheetId="2">[1]FDnet_Constants!$C$24</definedName>
    <definedName name="CmaxSmalRc" localSheetId="8">[2]FDnet_Constants!$C$24</definedName>
    <definedName name="CmaxSmalRc">FDnet_Constants!$C$32</definedName>
    <definedName name="ConvIEx">FDnet_Constants!$C$46</definedName>
    <definedName name="ConvUEx">FDnet_Constants!$C$47</definedName>
    <definedName name="DC" localSheetId="2">[1]FDnet_Constants!$C$18</definedName>
    <definedName name="DC" localSheetId="8">[2]FDnet_Constants!$C$18</definedName>
    <definedName name="DC">FDnet_Constants!$C$25</definedName>
    <definedName name="I_Eai">FDnet_Constants!$C$20</definedName>
    <definedName name="I_Iai">FDnet_Constants!$C$18</definedName>
    <definedName name="I_IaiSteadyOn">FDnet_Constants!$C$22</definedName>
    <definedName name="Iai" localSheetId="2">[1]FDnet_Constants!$C$17</definedName>
    <definedName name="Iai">[2]FDnet_Constants!$C$17</definedName>
    <definedName name="Idet" localSheetId="2">[1]FDnet_Constants!$C$16</definedName>
    <definedName name="Idet" localSheetId="8">[2]FDnet_Constants!$C$16</definedName>
    <definedName name="Idet">FDnet_Constants!$C$16</definedName>
    <definedName name="Ileak" localSheetId="2">[1]FDnet_Constants!$C$9</definedName>
    <definedName name="Ileak" localSheetId="8">[2]FDnet_Constants!$C$9</definedName>
    <definedName name="Ileak">FDnet_Constants!$C$10</definedName>
    <definedName name="IleakEx">FDnet_Constants!$C$42</definedName>
    <definedName name="IleakModule" localSheetId="7">FDnet_Constants!$C$11</definedName>
    <definedName name="IleakModule" localSheetId="2">[1]FDnet_Constants!$C$10</definedName>
    <definedName name="IleakModule">[2]FDnet_Constants!$C$10</definedName>
    <definedName name="Imax" localSheetId="7">FDnet_Constants!$C$8</definedName>
    <definedName name="Imax" localSheetId="2">[1]FDnet_Constants!$C$7</definedName>
    <definedName name="Imax" localSheetId="8">[2]FDnet_Constants!$C$7</definedName>
    <definedName name="Imax">FDnet_Constants!$C$8</definedName>
    <definedName name="ImaxStation" localSheetId="7">FDnet_Constants!$C$9</definedName>
    <definedName name="ImaxStation" localSheetId="2">[1]FDnet_Constants!$C$8</definedName>
    <definedName name="ImaxStation">[2]FDnet_Constants!$C$8</definedName>
    <definedName name="IncCapRc" localSheetId="2">[1]FDnet_Constants!$C$22</definedName>
    <definedName name="IncCapRc" localSheetId="8">[2]FDnet_Constants!$C$22</definedName>
    <definedName name="IncCapRc">FDnet_Constants!$C$30</definedName>
    <definedName name="MaxAKLoop" localSheetId="2">[1]FDnet_Constants!$C$5</definedName>
    <definedName name="MaxAKLoop" localSheetId="8">[2]FDnet_Constants!$C$5</definedName>
    <definedName name="MaxAKLoop">FDnet_Constants!$C$6</definedName>
    <definedName name="MaxAKModule" localSheetId="2">[1]FDnet_Constants!$C$6</definedName>
    <definedName name="MaxAKModule" localSheetId="8">[2]FDnet_Constants!$C$6</definedName>
    <definedName name="MaxAKModule">FDnet_Constants!$C$7</definedName>
    <definedName name="MaxAKStub">FDnet_Constants!$C$5</definedName>
    <definedName name="MaxC" localSheetId="2">[1]FDnet_Constants!$C$25</definedName>
    <definedName name="MaxC" localSheetId="8">[2]FDnet_Constants!$C$25</definedName>
    <definedName name="MaxC">FDnet_Constants!$C$33</definedName>
    <definedName name="MaxExDevice">FDnet_Constants!$C$52</definedName>
    <definedName name="MaxFDCIO_Device">FDnet_Constants!$C$36</definedName>
    <definedName name="MaxFRT_FRD_Device">FDnet_Constants!$C$38</definedName>
    <definedName name="MaxFT2001_Device">FDnet_Constants!$C$37</definedName>
    <definedName name="MaxLengthC" localSheetId="2">[1]FDnet_Constants!$C$4</definedName>
    <definedName name="MaxLengthC" localSheetId="8">[2]FDnet_Constants!$C$4</definedName>
    <definedName name="MaxLengthC">FDnet_Constants!$C$4</definedName>
    <definedName name="MaxLengthR" localSheetId="2">[1]FDnet_Constants!$C$3</definedName>
    <definedName name="MaxLengthR" localSheetId="8">[2]FDnet_Constants!$C$3</definedName>
    <definedName name="MaxLengthR">FDnet_Constants!$C$3</definedName>
    <definedName name="MaxRadioDevice">FDnet_Constants!$C$34</definedName>
    <definedName name="MaxSwingDevice">FDnet_Constants!$C$35</definedName>
    <definedName name="N_AI_Ex">FDnet_Constants!$C$51</definedName>
    <definedName name="N_Eai">FDnet_Constants!$C$21</definedName>
    <definedName name="N_Iai">FDnet_Constants!$C$19</definedName>
    <definedName name="N_IaiSteadyOn_GB">FDnet_Constants!$C$23</definedName>
    <definedName name="N_IaiSteadyOn_OI">FDnet_Constants!$C$24</definedName>
    <definedName name="OperationIndicatorFactor">FDnet_Constants!$C$17</definedName>
    <definedName name="_xlnm.Print_Area" localSheetId="4">'C-NET_Module2'!$A$1:$S$589</definedName>
    <definedName name="_xlnm.Print_Area" localSheetId="0">Cover!$A$1:$D$56</definedName>
    <definedName name="_xlnm.Print_Area" localSheetId="7">FDnet_Constants!$A$1:$E$64</definedName>
    <definedName name="_xlnm.Print_Area" localSheetId="6">FDnet_Ref!$A$1:$S$589</definedName>
    <definedName name="_xlnm.Print_Area" localSheetId="2">Instructions!$A$1:$A$167</definedName>
    <definedName name="_xlnm.Print_Area" localSheetId="8">Panel_comp!$A$1:$M$239</definedName>
    <definedName name="_xlnm.Print_Area" localSheetId="1">RevisionNotes!$A$1:$A$70</definedName>
    <definedName name="Rans" localSheetId="2">[1]FDnet_Constants!$C$19</definedName>
    <definedName name="Rans" localSheetId="8">[2]FDnet_Constants!$C$19</definedName>
    <definedName name="Rans">FDnet_Constants!$C$26</definedName>
    <definedName name="RansEx">FDnet_Constants!$C$45</definedName>
    <definedName name="Rcbl" localSheetId="2">[1]FDnet_Constants!$C$20</definedName>
    <definedName name="Rcbl" localSheetId="8">[2]FDnet_Constants!$C$20</definedName>
    <definedName name="Rcbl">FDnet_Constants!$C$27</definedName>
    <definedName name="Rdet" localSheetId="2">[1]FDnet_Constants!$C$21</definedName>
    <definedName name="Rdet" localSheetId="8">[2]FDnet_Constants!$C$21</definedName>
    <definedName name="Rdet">FDnet_Constants!$C$28</definedName>
    <definedName name="Rdet_low">FDnet_Constants!$C$29</definedName>
    <definedName name="RlEx">FDnet_Constants!$C$44</definedName>
    <definedName name="V_FDCL_ul">FDnet_Constants!$C$50</definedName>
    <definedName name="Vans">FDnet_Constants!$C$15</definedName>
    <definedName name="Vdet_min">FDnet_Constants!$C$13</definedName>
    <definedName name="Vdet_min_1_1" localSheetId="2">[1]FDnet_Constants!$C$12</definedName>
    <definedName name="Vdet_min_1_1">[2]FDnet_Constants!$C$12</definedName>
    <definedName name="Vdet_min_1_2" localSheetId="2">[1]FDnet_Constants!$C$13</definedName>
    <definedName name="Vdet_min_1_2">[2]FDnet_Constants!$C$13</definedName>
    <definedName name="Vdet_min_2_1" localSheetId="2">[1]FDnet_Constants!$C$14</definedName>
    <definedName name="Vdet_min_2_1">[2]FDnet_Constants!$C$14</definedName>
    <definedName name="Vdet_min_2_2" localSheetId="2">[1]FDnet_Constants!$C$15</definedName>
    <definedName name="Vdet_min_2_2">[2]FDnet_Constants!$C$15</definedName>
    <definedName name="Vdet_min_AD18">FDnet_Constants!$C$14</definedName>
    <definedName name="VdetEx_min">FDnet_Constants!$C$43</definedName>
    <definedName name="VdropEx">FDnet_Constants!$C$48</definedName>
    <definedName name="Vline_min" localSheetId="2">[1]FDnet_Constants!$C$11</definedName>
    <definedName name="Vline_min" localSheetId="8">[2]FDnet_Constants!$C$11</definedName>
    <definedName name="Vline_min">FDnet_Constants!$C$12</definedName>
    <definedName name="Z_0CE3DBD1_3DA2_4637_84B0_9A8AACDD82DB_.wvu.PrintArea" localSheetId="7" hidden="1">FDnet_Constants!$A$1:$E$39</definedName>
    <definedName name="Z_10D36F12_79B4_49EF_B6EE_BBFD433B4D93_.wvu.PrintArea" localSheetId="4" hidden="1">'C-NET_Module2'!$A$1:$S$589</definedName>
    <definedName name="Z_10D36F12_79B4_49EF_B6EE_BBFD433B4D93_.wvu.PrintArea" localSheetId="7" hidden="1">FDnet_Constants!$A$1:$E$64</definedName>
    <definedName name="Z_10D36F12_79B4_49EF_B6EE_BBFD433B4D93_.wvu.PrintArea" localSheetId="6" hidden="1">FDnet_Ref!$A$1:$S$589</definedName>
    <definedName name="Z_10D36F12_79B4_49EF_B6EE_BBFD433B4D93_.wvu.Rows" localSheetId="4" hidden="1">'C-NET_Module2'!$35:$44,'C-NET_Module2'!$90:$99,'C-NET_Module2'!$105:$114,'C-NET_Module2'!$117:$126,'C-NET_Module2'!$136:$145,'C-NET_Module2'!$152:$161,'C-NET_Module2'!$165:$174,'C-NET_Module2'!$186:$195,'C-NET_Module2'!$203:$212,'C-NET_Module2'!$242:$249,'C-NET_Module2'!$266:$276,'C-NET_Module2'!$282:$291,'C-NET_Module2'!$302:$331,'C-NET_Module2'!$337:$350,'C-NET_Module2'!$356:$360,'C-NET_Module2'!$362:$389,'C-NET_Module2'!$394:$397,'C-NET_Module2'!$413:$413,'C-NET_Module2'!$416:$428,'C-NET_Module2'!$432:$433,'C-NET_Module2'!$445:$446,'C-NET_Module2'!$450:$468,'C-NET_Module2'!$482:$482,'C-NET_Module2'!$488:$488,'C-NET_Module2'!$494:$495,'C-NET_Module2'!$502:$503,'C-NET_Module2'!$508:$509,'C-NET_Module2'!$518:$521,'C-NET_Module2'!$549:$552,'C-NET_Module2'!$561:$561,'C-NET_Module2'!$564:$564,'C-NET_Module2'!$574:$575,'C-NET_Module2'!$581:$583</definedName>
    <definedName name="Z_10D36F12_79B4_49EF_B6EE_BBFD433B4D93_.wvu.Rows" localSheetId="6" hidden="1">FDnet_Ref!$35:$44,FDnet_Ref!$90:$99,FDnet_Ref!$105:$114,FDnet_Ref!$117:$126,FDnet_Ref!$136:$145,FDnet_Ref!$152:$161,FDnet_Ref!$165:$174,FDnet_Ref!$186:$195,FDnet_Ref!$203:$212,FDnet_Ref!$242:$249,FDnet_Ref!$266:$276,FDnet_Ref!$282:$291,FDnet_Ref!$302:$331,FDnet_Ref!$337:$350,FDnet_Ref!$356:$360,FDnet_Ref!$362:$389,FDnet_Ref!$394:$397,FDnet_Ref!$413:$413,FDnet_Ref!$416:$428,FDnet_Ref!$432:$433,FDnet_Ref!$445:$446,FDnet_Ref!$450:$468,FDnet_Ref!$482:$482,FDnet_Ref!$488:$488,FDnet_Ref!$494:$495,FDnet_Ref!$502:$503,FDnet_Ref!$508:$509,FDnet_Ref!$518:$521,FDnet_Ref!$549:$552,FDnet_Ref!$561:$561,FDnet_Ref!$564:$564,FDnet_Ref!$574:$575,FDnet_Ref!$581:$583</definedName>
    <definedName name="Z_2429DA68_BDAB_47E3_916D_F2F7C1F4495C_.wvu.Cols" localSheetId="4" hidden="1">'C-NET_Module2'!$E:$F,'C-NET_Module2'!$I:$J,'C-NET_Module2'!$M:$N,'C-NET_Module2'!$Q:$R,'C-NET_Module2'!$U:$AD</definedName>
    <definedName name="Z_2429DA68_BDAB_47E3_916D_F2F7C1F4495C_.wvu.Cols" localSheetId="6" hidden="1">FDnet_Ref!$E:$F,FDnet_Ref!$I:$J,FDnet_Ref!$M:$N,FDnet_Ref!$Q:$R,FDnet_Ref!$U:$AD</definedName>
    <definedName name="Z_2429DA68_BDAB_47E3_916D_F2F7C1F4495C_.wvu.PrintArea" localSheetId="4" hidden="1">'C-NET_Module2'!$A$1:$S$589</definedName>
    <definedName name="Z_2429DA68_BDAB_47E3_916D_F2F7C1F4495C_.wvu.PrintArea" localSheetId="7" hidden="1">FDnet_Constants!$A$1:$E$64</definedName>
    <definedName name="Z_2429DA68_BDAB_47E3_916D_F2F7C1F4495C_.wvu.PrintArea" localSheetId="6" hidden="1">FDnet_Ref!$A$1:$S$589</definedName>
    <definedName name="Z_2429DA68_BDAB_47E3_916D_F2F7C1F4495C_.wvu.Rows" localSheetId="4" hidden="1">'C-NET_Module2'!$39:$44,'C-NET_Module2'!$48:$60,'C-NET_Module2'!$62:$72,'C-NET_Module2'!$74:$79,'C-NET_Module2'!$90:$99,'C-NET_Module2'!$105:$114,'C-NET_Module2'!$117:$126,'C-NET_Module2'!$136:$145,'C-NET_Module2'!$152:$161,'C-NET_Module2'!$165:$174,'C-NET_Module2'!$186:$195,'C-NET_Module2'!$203:$212,'C-NET_Module2'!$242:$249,'C-NET_Module2'!$266:$276,'C-NET_Module2'!$282:$291,'C-NET_Module2'!$302:$331,'C-NET_Module2'!$334:$334,'C-NET_Module2'!$337:$350,'C-NET_Module2'!$353:$353,'C-NET_Module2'!$356:$402,'C-NET_Module2'!$413:$434,'C-NET_Module2'!$439:$439,'C-NET_Module2'!$441:$441,'C-NET_Module2'!$443:$468,'C-NET_Module2'!$478:$478,'C-NET_Module2'!$481:$489,'C-NET_Module2'!$494:$522,'C-NET_Module2'!$525:$532,'C-NET_Module2'!$535:$535,'C-NET_Module2'!$539:$539,'C-NET_Module2'!$543:$544,'C-NET_Module2'!$546:$546,'C-NET_Module2'!$549:$552,'C-NET_Module2'!$556:$556,'C-NET_Module2'!$561:$566,'C-NET_Module2'!$570:$570,'C-NET_Module2'!$574:$583</definedName>
    <definedName name="Z_2429DA68_BDAB_47E3_916D_F2F7C1F4495C_.wvu.Rows" localSheetId="6" hidden="1">FDnet_Ref!$39:$44,FDnet_Ref!$48:$60,FDnet_Ref!$62:$72,FDnet_Ref!$74:$79,FDnet_Ref!$90:$99,FDnet_Ref!$105:$114,FDnet_Ref!$117:$126,FDnet_Ref!$136:$145,FDnet_Ref!$152:$161,FDnet_Ref!$165:$174,FDnet_Ref!$186:$195,FDnet_Ref!$203:$212,FDnet_Ref!$242:$249,FDnet_Ref!$266:$276,FDnet_Ref!$282:$291,FDnet_Ref!$302:$331,FDnet_Ref!$334:$334,FDnet_Ref!$337:$350,FDnet_Ref!$353:$353,FDnet_Ref!$356:$402,FDnet_Ref!$413:$434,FDnet_Ref!$439:$439,FDnet_Ref!$441:$441,FDnet_Ref!$443:$468,FDnet_Ref!$478:$478,FDnet_Ref!$481:$489,FDnet_Ref!$494:$522,FDnet_Ref!$525:$532,FDnet_Ref!$535:$535,FDnet_Ref!$539:$539,FDnet_Ref!$543:$544,FDnet_Ref!$546:$546,FDnet_Ref!$549:$552,FDnet_Ref!$556:$556,FDnet_Ref!$561:$566,FDnet_Ref!$570:$570,FDnet_Ref!$574:$583</definedName>
    <definedName name="Z_38310273_726C_46B5_9A7D_3A840C4ADC8D_.wvu.PrintArea" localSheetId="8" hidden="1">Panel_comp!$A$1:$M$188</definedName>
    <definedName name="Z_38310273_726C_46B5_9A7D_3A840C4ADC8D_.wvu.Rows" localSheetId="3" hidden="1">FC360_Panel!$31:$56,FC360_Panel!$71:$75,FC360_Panel!$77:$127,FC360_Panel!$206:$214,FC360_Panel!$246:$250,FC360_Panel!#REF!</definedName>
    <definedName name="Z_45563D92_82A0_4FF0_81EB_047769486D3B_.wvu.PrintArea" localSheetId="7" hidden="1">FDnet_Constants!$A$1:$E$39</definedName>
    <definedName name="Z_546B40C3_3270_4E58_930E_F35A603AD684_.wvu.PrintArea" localSheetId="8" hidden="1">Panel_comp!$A$1:$M$239</definedName>
    <definedName name="Z_5713E2BC_B607_4822_8A61_C28A9BEC60D8_.wvu.Cols" localSheetId="4" hidden="1">'C-NET_Module2'!$U:$AF</definedName>
    <definedName name="Z_5713E2BC_B607_4822_8A61_C28A9BEC60D8_.wvu.Cols" localSheetId="6" hidden="1">FDnet_Ref!$U:$AF</definedName>
    <definedName name="Z_5713E2BC_B607_4822_8A61_C28A9BEC60D8_.wvu.PrintArea" localSheetId="4" hidden="1">'C-NET_Module2'!$A$1:$S$589</definedName>
    <definedName name="Z_5713E2BC_B607_4822_8A61_C28A9BEC60D8_.wvu.PrintArea" localSheetId="7" hidden="1">FDnet_Constants!$A$1:$E$64</definedName>
    <definedName name="Z_5713E2BC_B607_4822_8A61_C28A9BEC60D8_.wvu.PrintArea" localSheetId="6" hidden="1">FDnet_Ref!$A$1:$S$589</definedName>
    <definedName name="Z_5713E2BC_B607_4822_8A61_C28A9BEC60D8_.wvu.Rows" localSheetId="4" hidden="1">'C-NET_Module2'!$48:$60,'C-NET_Module2'!$62:$72,'C-NET_Module2'!$74:$79,'C-NET_Module2'!$89:$99,'C-NET_Module2'!$101:$114,'C-NET_Module2'!$116:$126,'C-NET_Module2'!$128:$145,'C-NET_Module2'!$147:$161,'C-NET_Module2'!$163:$174,'C-NET_Module2'!$176:$195,'C-NET_Module2'!$197:$212,'C-NET_Module2'!$214:$249,'C-NET_Module2'!$251:$276,'C-NET_Module2'!$278:$291,'C-NET_Module2'!$293:$331,'C-NET_Module2'!$333:$350,'C-NET_Module2'!$352:$402,'C-NET_Module2'!$413:$434,'C-NET_Module2'!$439:$439,'C-NET_Module2'!$441:$441,'C-NET_Module2'!$443:$468,'C-NET_Module2'!$478:$478,'C-NET_Module2'!$481:$521,'C-NET_Module2'!$525:$532,'C-NET_Module2'!$535:$535,'C-NET_Module2'!$539:$539,'C-NET_Module2'!$543:$544,'C-NET_Module2'!$546:$546,'C-NET_Module2'!$549:$552,'C-NET_Module2'!$556:$556,'C-NET_Module2'!$560:$566,'C-NET_Module2'!$570:$570,'C-NET_Module2'!$574:$583</definedName>
    <definedName name="Z_5713E2BC_B607_4822_8A61_C28A9BEC60D8_.wvu.Rows" localSheetId="6" hidden="1">FDnet_Ref!$48:$60,FDnet_Ref!$62:$72,FDnet_Ref!$74:$79,FDnet_Ref!$89:$99,FDnet_Ref!$101:$114,FDnet_Ref!$116:$126,FDnet_Ref!$128:$145,FDnet_Ref!$147:$161,FDnet_Ref!$163:$174,FDnet_Ref!$176:$195,FDnet_Ref!$197:$212,FDnet_Ref!$214:$249,FDnet_Ref!$251:$276,FDnet_Ref!$278:$291,FDnet_Ref!$293:$331,FDnet_Ref!$333:$350,FDnet_Ref!$352:$402,FDnet_Ref!$413:$434,FDnet_Ref!$439:$439,FDnet_Ref!$441:$441,FDnet_Ref!$443:$468,FDnet_Ref!$478:$478,FDnet_Ref!$481:$521,FDnet_Ref!$525:$532,FDnet_Ref!$535:$535,FDnet_Ref!$539:$539,FDnet_Ref!$543:$544,FDnet_Ref!$546:$546,FDnet_Ref!$549:$552,FDnet_Ref!$556:$556,FDnet_Ref!$560:$566,FDnet_Ref!$570:$570,FDnet_Ref!$574:$583</definedName>
    <definedName name="Z_820A86A5_0D40_4A23_B2DF_8DFC823A4E56_.wvu.PrintArea" localSheetId="0" hidden="1">Cover!$A$1:$D$56</definedName>
    <definedName name="Z_820A86A5_0D40_4A23_B2DF_8DFC823A4E56_.wvu.PrintArea" localSheetId="2" hidden="1">Instructions!$A$1:$A$167</definedName>
    <definedName name="Z_820A86A5_0D40_4A23_B2DF_8DFC823A4E56_.wvu.PrintArea" localSheetId="8" hidden="1">Panel_comp!$A$1:$M$239</definedName>
    <definedName name="Z_820A86A5_0D40_4A23_B2DF_8DFC823A4E56_.wvu.PrintArea" localSheetId="1" hidden="1">RevisionNotes!$A$1:$A$70</definedName>
    <definedName name="Z_9FD4FE92_B3EF_4D62_8BD2_47E2B41F608B_.wvu.PrintArea" localSheetId="4" hidden="1">'C-NET_Module2'!$A$1:$S$589</definedName>
    <definedName name="Z_9FD4FE92_B3EF_4D62_8BD2_47E2B41F608B_.wvu.PrintArea" localSheetId="7" hidden="1">FDnet_Constants!$A$1:$E$64</definedName>
    <definedName name="Z_9FD4FE92_B3EF_4D62_8BD2_47E2B41F608B_.wvu.PrintArea" localSheetId="6" hidden="1">FDnet_Ref!$A$1:$S$589</definedName>
    <definedName name="Z_9FD4FE92_B3EF_4D62_8BD2_47E2B41F608B_.wvu.Rows" localSheetId="4" hidden="1">'C-NET_Module2'!$89:$99,'C-NET_Module2'!$105:$114,'C-NET_Module2'!$117:$126,'C-NET_Module2'!$136:$145,'C-NET_Module2'!$152:$161,'C-NET_Module2'!$165:$174,'C-NET_Module2'!$186:$195,'C-NET_Module2'!$203:$212,'C-NET_Module2'!$240:$249,'C-NET_Module2'!$266:$276,'C-NET_Module2'!$282:$291,'C-NET_Module2'!$302:$329,'C-NET_Module2'!$344:$349,'C-NET_Module2'!$363:$387,'C-NET_Module2'!$413:$413,'C-NET_Module2'!$417:$428,'C-NET_Module2'!$432:$433,'C-NET_Module2'!$441:$441,'C-NET_Module2'!$446:$447,'C-NET_Module2'!$450:$468,'C-NET_Module2'!$478:$478,'C-NET_Module2'!$482:$482,'C-NET_Module2'!$488:$489,'C-NET_Module2'!$493:$495,'C-NET_Module2'!$502:$504,'C-NET_Module2'!$508:$510,'C-NET_Module2'!$518:$521,'C-NET_Module2'!$549:$552,'C-NET_Module2'!$564:$564</definedName>
    <definedName name="Z_9FD4FE92_B3EF_4D62_8BD2_47E2B41F608B_.wvu.Rows" localSheetId="6" hidden="1">FDnet_Ref!$89:$99,FDnet_Ref!$105:$114,FDnet_Ref!$117:$126,FDnet_Ref!$136:$145,FDnet_Ref!$152:$161,FDnet_Ref!$165:$174,FDnet_Ref!$186:$195,FDnet_Ref!$203:$212,FDnet_Ref!$240:$249,FDnet_Ref!$266:$276,FDnet_Ref!$282:$291,FDnet_Ref!$302:$329,FDnet_Ref!$344:$349,FDnet_Ref!$363:$387,FDnet_Ref!$413:$413,FDnet_Ref!$417:$428,FDnet_Ref!$432:$433,FDnet_Ref!$441:$441,FDnet_Ref!$446:$447,FDnet_Ref!$450:$468,FDnet_Ref!$478:$478,FDnet_Ref!$482:$482,FDnet_Ref!$488:$489,FDnet_Ref!$493:$495,FDnet_Ref!$502:$504,FDnet_Ref!$508:$510,FDnet_Ref!$518:$521,FDnet_Ref!$549:$552,FDnet_Ref!$564:$564</definedName>
    <definedName name="Z_F3915676_A7EF_4017_942F_7C19B6817DD9_.wvu.PrintArea" localSheetId="0" hidden="1">Cover!$A$1:$D$56</definedName>
    <definedName name="Z_F3915676_A7EF_4017_942F_7C19B6817DD9_.wvu.PrintArea" localSheetId="2" hidden="1">Instructions!$A$1:$A$167</definedName>
    <definedName name="Z_F3915676_A7EF_4017_942F_7C19B6817DD9_.wvu.PrintArea" localSheetId="8" hidden="1">Panel_comp!$A$1:$M$239</definedName>
    <definedName name="Z_F3915676_A7EF_4017_942F_7C19B6817DD9_.wvu.PrintArea" localSheetId="1" hidden="1">RevisionNotes!$A$1:$A$70</definedName>
    <definedName name="Z_F3915676_A7EF_4017_942F_7C19B6817DD9_.wvu.Rows" localSheetId="3" hidden="1">FC360_Panel!$31:$56,FC360_Panel!$71:$75,FC360_Panel!$77:$127,FC360_Panel!$145:$154,FC360_Panel!$206:$215,FC360_Panel!$246:$250,FC360_Panel!$252:$253</definedName>
  </definedNames>
  <calcPr calcId="191029"/>
  <customWorkbookViews>
    <customWorkbookView name="EndUser" guid="{F3915676-A7EF-4017-942F-7C19B6817DD9}" maximized="1" windowWidth="1276" windowHeight="797" tabRatio="756" activeSheetId="22"/>
    <customWorkbookView name="Developement" guid="{820A86A5-0D40-4A23-B2DF-8DFC823A4E56}" maximized="1" windowWidth="1276" windowHeight="797" tabRatio="756" activeSheetId="2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255" i="1871" l="1"/>
  <c r="H89" i="1871"/>
  <c r="F89" i="1871"/>
  <c r="Q555" i="1965"/>
  <c r="O555" i="1965"/>
  <c r="M555" i="1965"/>
  <c r="K555" i="1965"/>
  <c r="I555" i="1965"/>
  <c r="G555" i="1965"/>
  <c r="E555" i="1965"/>
  <c r="C555" i="1965"/>
  <c r="C554" i="1965"/>
  <c r="Q542" i="1965"/>
  <c r="O542" i="1965"/>
  <c r="M542" i="1965"/>
  <c r="K542" i="1965"/>
  <c r="I542" i="1965"/>
  <c r="G542" i="1965"/>
  <c r="E542" i="1965"/>
  <c r="C542" i="1965"/>
  <c r="C541" i="1965"/>
  <c r="Q524" i="1965"/>
  <c r="O524" i="1965"/>
  <c r="M524" i="1965"/>
  <c r="K524" i="1965"/>
  <c r="I524" i="1965"/>
  <c r="G524" i="1965"/>
  <c r="E524" i="1965"/>
  <c r="C524" i="1965"/>
  <c r="C523" i="1965"/>
  <c r="Q477" i="1965"/>
  <c r="O477" i="1965"/>
  <c r="M477" i="1965"/>
  <c r="K477" i="1965"/>
  <c r="I477" i="1965"/>
  <c r="G477" i="1965"/>
  <c r="E477" i="1965"/>
  <c r="C477" i="1965"/>
  <c r="C476" i="1965"/>
  <c r="Q437" i="1965"/>
  <c r="O437" i="1965"/>
  <c r="M437" i="1965"/>
  <c r="K437" i="1965"/>
  <c r="I437" i="1965"/>
  <c r="G437" i="1965"/>
  <c r="E437" i="1965"/>
  <c r="C437" i="1965"/>
  <c r="C435" i="1965"/>
  <c r="Q407" i="1965"/>
  <c r="O407" i="1965"/>
  <c r="M407" i="1965"/>
  <c r="K407" i="1965"/>
  <c r="I407" i="1965"/>
  <c r="G407" i="1965"/>
  <c r="E407" i="1965"/>
  <c r="C407" i="1965"/>
  <c r="C406" i="1965"/>
  <c r="X361" i="1965"/>
  <c r="U361" i="1965"/>
  <c r="AF360" i="1965"/>
  <c r="AF359" i="1965"/>
  <c r="AF358" i="1965"/>
  <c r="AF357" i="1965"/>
  <c r="AF356" i="1965"/>
  <c r="AF355" i="1965"/>
  <c r="AF354" i="1965"/>
  <c r="X354" i="1965"/>
  <c r="U354" i="1965"/>
  <c r="AF353" i="1965"/>
  <c r="X353" i="1965"/>
  <c r="U353" i="1965"/>
  <c r="AF352" i="1965"/>
  <c r="AF351" i="1965"/>
  <c r="AF342" i="1965"/>
  <c r="X342" i="1965"/>
  <c r="U342" i="1965"/>
  <c r="AF341" i="1965"/>
  <c r="AF340" i="1965"/>
  <c r="AF339" i="1965"/>
  <c r="AF338" i="1965"/>
  <c r="AF337" i="1965"/>
  <c r="AF336" i="1965"/>
  <c r="AF335" i="1965"/>
  <c r="X335" i="1965"/>
  <c r="U335" i="1965"/>
  <c r="AF334" i="1965"/>
  <c r="X334" i="1965"/>
  <c r="U334" i="1965"/>
  <c r="AF333" i="1965"/>
  <c r="AF332" i="1965"/>
  <c r="AF311" i="1965"/>
  <c r="AF310" i="1965"/>
  <c r="AF309" i="1965"/>
  <c r="AF308" i="1965"/>
  <c r="AF307" i="1965"/>
  <c r="AF306" i="1965"/>
  <c r="AF305" i="1965"/>
  <c r="AF304" i="1965"/>
  <c r="AF303" i="1965"/>
  <c r="AF302" i="1965"/>
  <c r="AF297" i="1965"/>
  <c r="X297" i="1965"/>
  <c r="U297" i="1965"/>
  <c r="AF296" i="1965"/>
  <c r="X296" i="1965"/>
  <c r="U296" i="1965"/>
  <c r="AF295" i="1965"/>
  <c r="X295" i="1965"/>
  <c r="U295" i="1965"/>
  <c r="AF294" i="1965"/>
  <c r="X294" i="1965"/>
  <c r="U294" i="1965"/>
  <c r="AF293" i="1965"/>
  <c r="X293" i="1965"/>
  <c r="U293" i="1965"/>
  <c r="AF292" i="1965"/>
  <c r="AF291" i="1965"/>
  <c r="X291" i="1965"/>
  <c r="U291" i="1965"/>
  <c r="AF290" i="1965"/>
  <c r="X290" i="1965"/>
  <c r="U290" i="1965"/>
  <c r="AF289" i="1965"/>
  <c r="X289" i="1965"/>
  <c r="U289" i="1965"/>
  <c r="AF288" i="1965"/>
  <c r="X288" i="1965"/>
  <c r="U288" i="1965"/>
  <c r="AF287" i="1965"/>
  <c r="X287" i="1965"/>
  <c r="U287" i="1965"/>
  <c r="AF286" i="1965"/>
  <c r="X286" i="1965"/>
  <c r="U286" i="1965"/>
  <c r="AF285" i="1965"/>
  <c r="X285" i="1965"/>
  <c r="U285" i="1965"/>
  <c r="AF284" i="1965"/>
  <c r="X284" i="1965"/>
  <c r="U284" i="1965"/>
  <c r="AF283" i="1965"/>
  <c r="X283" i="1965"/>
  <c r="U283" i="1965"/>
  <c r="AF282" i="1965"/>
  <c r="X282" i="1965"/>
  <c r="U282" i="1965"/>
  <c r="AF281" i="1965"/>
  <c r="X281" i="1965"/>
  <c r="U281" i="1965"/>
  <c r="AF280" i="1965"/>
  <c r="X280" i="1965"/>
  <c r="U280" i="1965"/>
  <c r="AF279" i="1965"/>
  <c r="AF278" i="1965"/>
  <c r="X278" i="1965"/>
  <c r="U278" i="1965"/>
  <c r="AF277" i="1965"/>
  <c r="AF276" i="1965"/>
  <c r="X276" i="1965"/>
  <c r="U276" i="1965"/>
  <c r="AF275" i="1965"/>
  <c r="X275" i="1965"/>
  <c r="U275" i="1965"/>
  <c r="AF274" i="1965"/>
  <c r="X274" i="1965"/>
  <c r="U274" i="1965"/>
  <c r="AF273" i="1965"/>
  <c r="X273" i="1965"/>
  <c r="U273" i="1965"/>
  <c r="AF272" i="1965"/>
  <c r="X272" i="1965"/>
  <c r="U272" i="1965"/>
  <c r="AF271" i="1965"/>
  <c r="X271" i="1965"/>
  <c r="U271" i="1965"/>
  <c r="AF270" i="1965"/>
  <c r="X270" i="1965"/>
  <c r="U270" i="1965"/>
  <c r="AF269" i="1965"/>
  <c r="X269" i="1965"/>
  <c r="U269" i="1965"/>
  <c r="AF268" i="1965"/>
  <c r="X268" i="1965"/>
  <c r="U268" i="1965"/>
  <c r="AF267" i="1965"/>
  <c r="X267" i="1965"/>
  <c r="U267" i="1965"/>
  <c r="AF266" i="1965"/>
  <c r="X266" i="1965"/>
  <c r="U266" i="1965"/>
  <c r="AF265" i="1965"/>
  <c r="X265" i="1965"/>
  <c r="U265" i="1965"/>
  <c r="AF264" i="1965"/>
  <c r="X264" i="1965"/>
  <c r="U264" i="1965"/>
  <c r="AF263" i="1965"/>
  <c r="X263" i="1965"/>
  <c r="U263" i="1965"/>
  <c r="AF262" i="1965"/>
  <c r="X262" i="1965"/>
  <c r="U262" i="1965"/>
  <c r="AF261" i="1965"/>
  <c r="X261" i="1965"/>
  <c r="U261" i="1965"/>
  <c r="AF260" i="1965"/>
  <c r="X260" i="1965"/>
  <c r="U260" i="1965"/>
  <c r="AF259" i="1965"/>
  <c r="X259" i="1965"/>
  <c r="U259" i="1965"/>
  <c r="AF258" i="1965"/>
  <c r="X258" i="1965"/>
  <c r="U258" i="1965"/>
  <c r="AF257" i="1965"/>
  <c r="X257" i="1965"/>
  <c r="U257" i="1965"/>
  <c r="AF256" i="1965"/>
  <c r="X256" i="1965"/>
  <c r="U256" i="1965"/>
  <c r="AF255" i="1965"/>
  <c r="X255" i="1965"/>
  <c r="U255" i="1965"/>
  <c r="AF254" i="1965"/>
  <c r="X254" i="1965"/>
  <c r="U254" i="1965"/>
  <c r="AF253" i="1965"/>
  <c r="X253" i="1965"/>
  <c r="U253" i="1965"/>
  <c r="AF252" i="1965"/>
  <c r="X252" i="1965"/>
  <c r="U252" i="1965"/>
  <c r="AF251" i="1965"/>
  <c r="X251" i="1965"/>
  <c r="U251" i="1965"/>
  <c r="AF250" i="1965"/>
  <c r="AF249" i="1965"/>
  <c r="AF248" i="1965"/>
  <c r="AF247" i="1965"/>
  <c r="AF246" i="1965"/>
  <c r="AF245" i="1965"/>
  <c r="AF244" i="1965"/>
  <c r="AF243" i="1965"/>
  <c r="AF242" i="1965"/>
  <c r="AF241" i="1965"/>
  <c r="AF240" i="1965"/>
  <c r="X240" i="1965"/>
  <c r="U240" i="1965"/>
  <c r="AF239" i="1965"/>
  <c r="X239" i="1965"/>
  <c r="U239" i="1965"/>
  <c r="AF238" i="1965"/>
  <c r="X238" i="1965"/>
  <c r="U238" i="1965"/>
  <c r="AF237" i="1965"/>
  <c r="X237" i="1965"/>
  <c r="U237" i="1965"/>
  <c r="AF236" i="1965"/>
  <c r="X236" i="1965"/>
  <c r="U236" i="1965"/>
  <c r="AF235" i="1965"/>
  <c r="X235" i="1965"/>
  <c r="U235" i="1965"/>
  <c r="AF234" i="1965"/>
  <c r="X234" i="1965"/>
  <c r="U234" i="1965"/>
  <c r="AF233" i="1965"/>
  <c r="X233" i="1965"/>
  <c r="U233" i="1965"/>
  <c r="AF232" i="1965"/>
  <c r="X232" i="1965"/>
  <c r="U232" i="1965"/>
  <c r="AF231" i="1965"/>
  <c r="X231" i="1965"/>
  <c r="U231" i="1965"/>
  <c r="AF230" i="1965"/>
  <c r="X230" i="1965"/>
  <c r="U230" i="1965"/>
  <c r="AF229" i="1965"/>
  <c r="X229" i="1965"/>
  <c r="U229" i="1965"/>
  <c r="AF228" i="1965"/>
  <c r="X228" i="1965"/>
  <c r="U228" i="1965"/>
  <c r="AF227" i="1965"/>
  <c r="X227" i="1965"/>
  <c r="U227" i="1965"/>
  <c r="AF226" i="1965"/>
  <c r="X226" i="1965"/>
  <c r="U226" i="1965"/>
  <c r="AF225" i="1965"/>
  <c r="X225" i="1965"/>
  <c r="U225" i="1965"/>
  <c r="AF224" i="1965"/>
  <c r="X224" i="1965"/>
  <c r="U224" i="1965"/>
  <c r="AF223" i="1965"/>
  <c r="X223" i="1965"/>
  <c r="U223" i="1965"/>
  <c r="AF222" i="1965"/>
  <c r="X222" i="1965"/>
  <c r="U222" i="1965"/>
  <c r="AF221" i="1965"/>
  <c r="X221" i="1965"/>
  <c r="U221" i="1965"/>
  <c r="AF220" i="1965"/>
  <c r="X220" i="1965"/>
  <c r="U220" i="1965"/>
  <c r="AF219" i="1965"/>
  <c r="X219" i="1965"/>
  <c r="U219" i="1965"/>
  <c r="AF218" i="1965"/>
  <c r="X218" i="1965"/>
  <c r="U218" i="1965"/>
  <c r="AF217" i="1965"/>
  <c r="X217" i="1965"/>
  <c r="U217" i="1965"/>
  <c r="AF216" i="1965"/>
  <c r="X216" i="1965"/>
  <c r="U216" i="1965"/>
  <c r="AF215" i="1965"/>
  <c r="X215" i="1965"/>
  <c r="U215" i="1965"/>
  <c r="AF214" i="1965"/>
  <c r="X214" i="1965"/>
  <c r="U214" i="1965"/>
  <c r="AF213" i="1965"/>
  <c r="AF212" i="1965"/>
  <c r="AF211" i="1965"/>
  <c r="AF210" i="1965"/>
  <c r="AF209" i="1965"/>
  <c r="AF208" i="1965"/>
  <c r="AF207" i="1965"/>
  <c r="AF206" i="1965"/>
  <c r="AF205" i="1965"/>
  <c r="AF204" i="1965"/>
  <c r="AF203" i="1965"/>
  <c r="AF202" i="1965"/>
  <c r="X202" i="1965"/>
  <c r="U202" i="1965"/>
  <c r="AF201" i="1965"/>
  <c r="X201" i="1965"/>
  <c r="U201" i="1965"/>
  <c r="AF200" i="1965"/>
  <c r="X200" i="1965"/>
  <c r="U200" i="1965"/>
  <c r="AF199" i="1965"/>
  <c r="X199" i="1965"/>
  <c r="U199" i="1965"/>
  <c r="AF198" i="1965"/>
  <c r="X198" i="1965"/>
  <c r="U198" i="1965"/>
  <c r="AF197" i="1965"/>
  <c r="X197" i="1965"/>
  <c r="U197" i="1965"/>
  <c r="AF196" i="1965"/>
  <c r="AF195" i="1965"/>
  <c r="AF194" i="1965"/>
  <c r="AF193" i="1965"/>
  <c r="AF192" i="1965"/>
  <c r="AF191" i="1965"/>
  <c r="AF190" i="1965"/>
  <c r="AF189" i="1965"/>
  <c r="AF188" i="1965"/>
  <c r="AF187" i="1965"/>
  <c r="X187" i="1965"/>
  <c r="U187" i="1965"/>
  <c r="AF186" i="1965"/>
  <c r="X186" i="1965"/>
  <c r="U186" i="1965"/>
  <c r="AF185" i="1965"/>
  <c r="X185" i="1965"/>
  <c r="U185" i="1965"/>
  <c r="AF184" i="1965"/>
  <c r="X184" i="1965"/>
  <c r="U184" i="1965"/>
  <c r="AF183" i="1965"/>
  <c r="X183" i="1965"/>
  <c r="U183" i="1965"/>
  <c r="AF182" i="1965"/>
  <c r="X182" i="1965"/>
  <c r="U182" i="1965"/>
  <c r="AF181" i="1965"/>
  <c r="X181" i="1965"/>
  <c r="U181" i="1965"/>
  <c r="AF180" i="1965"/>
  <c r="X180" i="1965"/>
  <c r="U180" i="1965"/>
  <c r="AF179" i="1965"/>
  <c r="X179" i="1965"/>
  <c r="U179" i="1965"/>
  <c r="AF178" i="1965"/>
  <c r="X178" i="1965"/>
  <c r="U178" i="1965"/>
  <c r="AF177" i="1965"/>
  <c r="X177" i="1965"/>
  <c r="U177" i="1965"/>
  <c r="AF176" i="1965"/>
  <c r="X176" i="1965"/>
  <c r="U176" i="1965"/>
  <c r="AF175" i="1965"/>
  <c r="AF174" i="1965"/>
  <c r="AF173" i="1965"/>
  <c r="AF172" i="1965"/>
  <c r="AF171" i="1965"/>
  <c r="AF170" i="1965"/>
  <c r="AF169" i="1965"/>
  <c r="AF168" i="1965"/>
  <c r="AF167" i="1965"/>
  <c r="AF166" i="1965"/>
  <c r="AF165" i="1965"/>
  <c r="AF162" i="1965"/>
  <c r="AF161" i="1965"/>
  <c r="AF160" i="1965"/>
  <c r="AF159" i="1965"/>
  <c r="AF158" i="1965"/>
  <c r="AF157" i="1965"/>
  <c r="AF156" i="1965"/>
  <c r="AF155" i="1965"/>
  <c r="AF154" i="1965"/>
  <c r="AF153" i="1965"/>
  <c r="AF152" i="1965"/>
  <c r="AF146" i="1965"/>
  <c r="AF145" i="1965"/>
  <c r="AF144" i="1965"/>
  <c r="AF143" i="1965"/>
  <c r="AF142" i="1965"/>
  <c r="AF141" i="1965"/>
  <c r="AF140" i="1965"/>
  <c r="AF139" i="1965"/>
  <c r="AF138" i="1965"/>
  <c r="AF137" i="1965"/>
  <c r="X137" i="1965"/>
  <c r="U137" i="1965"/>
  <c r="AF136" i="1965"/>
  <c r="X136" i="1965"/>
  <c r="U136" i="1965"/>
  <c r="AF135" i="1965"/>
  <c r="X135" i="1965"/>
  <c r="U135" i="1965"/>
  <c r="AF134" i="1965"/>
  <c r="X134" i="1965"/>
  <c r="U134" i="1965"/>
  <c r="AF133" i="1965"/>
  <c r="X133" i="1965"/>
  <c r="U133" i="1965"/>
  <c r="AF132" i="1965"/>
  <c r="X132" i="1965"/>
  <c r="U132" i="1965"/>
  <c r="AF131" i="1965"/>
  <c r="X131" i="1965"/>
  <c r="U131" i="1965"/>
  <c r="AF130" i="1965"/>
  <c r="X130" i="1965"/>
  <c r="U130" i="1965"/>
  <c r="AF129" i="1965"/>
  <c r="X129" i="1965"/>
  <c r="U129" i="1965"/>
  <c r="AF128" i="1965"/>
  <c r="X128" i="1965"/>
  <c r="U128" i="1965"/>
  <c r="AF127" i="1965"/>
  <c r="AF126" i="1965"/>
  <c r="X126" i="1965"/>
  <c r="U126" i="1965"/>
  <c r="AF125" i="1965"/>
  <c r="X125" i="1965"/>
  <c r="U125" i="1965"/>
  <c r="AF124" i="1965"/>
  <c r="X124" i="1965"/>
  <c r="U124" i="1965"/>
  <c r="AF123" i="1965"/>
  <c r="X123" i="1965"/>
  <c r="U123" i="1965"/>
  <c r="AF122" i="1965"/>
  <c r="X122" i="1965"/>
  <c r="U122" i="1965"/>
  <c r="AF121" i="1965"/>
  <c r="X121" i="1965"/>
  <c r="U121" i="1965"/>
  <c r="AF120" i="1965"/>
  <c r="X120" i="1965"/>
  <c r="U120" i="1965"/>
  <c r="AF119" i="1965"/>
  <c r="X119" i="1965"/>
  <c r="U119" i="1965"/>
  <c r="AF118" i="1965"/>
  <c r="X118" i="1965"/>
  <c r="U118" i="1965"/>
  <c r="AF117" i="1965"/>
  <c r="X117" i="1965"/>
  <c r="U117" i="1965"/>
  <c r="AF116" i="1965"/>
  <c r="X116" i="1965"/>
  <c r="U116" i="1965"/>
  <c r="AF115" i="1965"/>
  <c r="AF114" i="1965"/>
  <c r="X114" i="1965"/>
  <c r="U114" i="1965"/>
  <c r="AF113" i="1965"/>
  <c r="X113" i="1965"/>
  <c r="U113" i="1965"/>
  <c r="AF112" i="1965"/>
  <c r="X112" i="1965"/>
  <c r="U112" i="1965"/>
  <c r="AF111" i="1965"/>
  <c r="X111" i="1965"/>
  <c r="U111" i="1965"/>
  <c r="AF110" i="1965"/>
  <c r="X110" i="1965"/>
  <c r="U110" i="1965"/>
  <c r="AF109" i="1965"/>
  <c r="X109" i="1965"/>
  <c r="U109" i="1965"/>
  <c r="AF108" i="1965"/>
  <c r="X108" i="1965"/>
  <c r="U108" i="1965"/>
  <c r="AF107" i="1965"/>
  <c r="X107" i="1965"/>
  <c r="U107" i="1965"/>
  <c r="AF106" i="1965"/>
  <c r="X106" i="1965"/>
  <c r="U106" i="1965"/>
  <c r="AF105" i="1965"/>
  <c r="X105" i="1965"/>
  <c r="U105" i="1965"/>
  <c r="AF104" i="1965"/>
  <c r="AF103" i="1965"/>
  <c r="X103" i="1965"/>
  <c r="U103" i="1965"/>
  <c r="AF102" i="1965"/>
  <c r="X102" i="1965"/>
  <c r="U102" i="1965"/>
  <c r="AF101" i="1965"/>
  <c r="X101" i="1965"/>
  <c r="U101" i="1965"/>
  <c r="AF100" i="1965"/>
  <c r="AF99" i="1965"/>
  <c r="X99" i="1965"/>
  <c r="U99" i="1965"/>
  <c r="AF98" i="1965"/>
  <c r="X98" i="1965"/>
  <c r="U98" i="1965"/>
  <c r="AF97" i="1965"/>
  <c r="X97" i="1965"/>
  <c r="U97" i="1965"/>
  <c r="AF96" i="1965"/>
  <c r="X96" i="1965"/>
  <c r="U96" i="1965"/>
  <c r="AF95" i="1965"/>
  <c r="X95" i="1965"/>
  <c r="U95" i="1965"/>
  <c r="AF94" i="1965"/>
  <c r="X94" i="1965"/>
  <c r="U94" i="1965"/>
  <c r="AF93" i="1965"/>
  <c r="X93" i="1965"/>
  <c r="U93" i="1965"/>
  <c r="AF92" i="1965"/>
  <c r="X92" i="1965"/>
  <c r="U92" i="1965"/>
  <c r="AF91" i="1965"/>
  <c r="X91" i="1965"/>
  <c r="U91" i="1965"/>
  <c r="AF90" i="1965"/>
  <c r="X90" i="1965"/>
  <c r="U90" i="1965"/>
  <c r="AF89" i="1965"/>
  <c r="X89" i="1965"/>
  <c r="U89" i="1965"/>
  <c r="AF88" i="1965"/>
  <c r="X88" i="1965"/>
  <c r="U88" i="1965"/>
  <c r="AF87" i="1965"/>
  <c r="X87" i="1965"/>
  <c r="U87" i="1965"/>
  <c r="AF86" i="1965"/>
  <c r="X86" i="1965"/>
  <c r="U86" i="1965"/>
  <c r="AF85" i="1965"/>
  <c r="X85" i="1965"/>
  <c r="U85" i="1965"/>
  <c r="AF84" i="1965"/>
  <c r="X84" i="1965"/>
  <c r="U84" i="1965"/>
  <c r="H191" i="1871" l="1"/>
  <c r="F191" i="1871"/>
  <c r="H193" i="1871" l="1"/>
  <c r="H192" i="1871"/>
  <c r="H195" i="1871"/>
  <c r="H194" i="1871"/>
  <c r="F193" i="1871"/>
  <c r="F195" i="1871"/>
  <c r="F194" i="1871"/>
  <c r="F192" i="1871"/>
  <c r="X177" i="1798" l="1"/>
  <c r="X178" i="1798"/>
  <c r="X179" i="1798"/>
  <c r="X180" i="1798"/>
  <c r="X181" i="1798"/>
  <c r="X182" i="1798"/>
  <c r="C103" i="1898" l="1"/>
  <c r="C104" i="1898"/>
  <c r="C105" i="1898"/>
  <c r="C102" i="1898" l="1"/>
  <c r="D103" i="1898"/>
  <c r="D104" i="1898"/>
  <c r="D105" i="1898"/>
  <c r="D102" i="1898"/>
  <c r="C159" i="1871" l="1"/>
  <c r="C165" i="1898" l="1"/>
  <c r="C164" i="1898"/>
  <c r="D109" i="1898"/>
  <c r="C109" i="1898"/>
  <c r="B105" i="1898"/>
  <c r="B104" i="1898"/>
  <c r="B103" i="1898"/>
  <c r="B102" i="1898"/>
  <c r="I99" i="1898"/>
  <c r="I98" i="1898"/>
  <c r="I97" i="1898"/>
  <c r="D93" i="1898"/>
  <c r="C93" i="1898"/>
  <c r="D92" i="1898"/>
  <c r="C92" i="1898"/>
  <c r="D91" i="1898"/>
  <c r="C91" i="1898"/>
  <c r="D90" i="1898"/>
  <c r="C90" i="1898"/>
  <c r="D89" i="1898"/>
  <c r="C89" i="1898"/>
  <c r="D85" i="1898"/>
  <c r="C85" i="1898"/>
  <c r="I83" i="1898"/>
  <c r="I82" i="1898"/>
  <c r="I80" i="1898"/>
  <c r="D67" i="1898"/>
  <c r="C67" i="1898"/>
  <c r="D66" i="1898"/>
  <c r="C66" i="1898"/>
  <c r="D65" i="1898"/>
  <c r="C65" i="1898"/>
  <c r="D64" i="1898"/>
  <c r="C64" i="1898"/>
  <c r="D63" i="1898"/>
  <c r="C63" i="1898"/>
  <c r="D62" i="1898"/>
  <c r="C62" i="1898"/>
  <c r="D58" i="1898"/>
  <c r="C58" i="1898"/>
  <c r="D57" i="1898"/>
  <c r="C57" i="1898"/>
  <c r="D56" i="1898"/>
  <c r="C56" i="1898"/>
  <c r="D55" i="1898"/>
  <c r="C55" i="1898"/>
  <c r="D54" i="1898"/>
  <c r="C54" i="1898"/>
  <c r="D53" i="1898"/>
  <c r="C53" i="1898"/>
  <c r="D49" i="1898"/>
  <c r="C49" i="1898"/>
  <c r="D48" i="1898"/>
  <c r="C48" i="1898"/>
  <c r="D44" i="1898"/>
  <c r="C44" i="1898"/>
  <c r="D43" i="1898"/>
  <c r="C43" i="1898"/>
  <c r="D29" i="1898"/>
  <c r="C29" i="1898"/>
  <c r="B109" i="1898" l="1" a="1"/>
  <c r="B109" i="1898" s="1"/>
  <c r="B111" i="1898" s="1"/>
  <c r="I77" i="1898"/>
  <c r="I122" i="1898" a="1"/>
  <c r="I122" i="1898" s="1"/>
  <c r="C185" i="1898" a="1"/>
  <c r="C185" i="1898" s="1"/>
  <c r="I74" i="1898"/>
  <c r="I123" i="1898" a="1"/>
  <c r="I123" i="1898" s="1"/>
  <c r="C173" i="1898" a="1"/>
  <c r="C173" i="1898" s="1"/>
  <c r="I124" i="1898" a="1"/>
  <c r="I124" i="1898" s="1"/>
  <c r="I75" i="1898"/>
  <c r="I88" i="1898"/>
  <c r="J88" i="1898" s="1"/>
  <c r="F146" i="1871" s="1"/>
  <c r="C174" i="1898" a="1"/>
  <c r="C174" i="1898" s="1"/>
  <c r="I76" i="1898"/>
  <c r="C182" i="1898" a="1"/>
  <c r="C182" i="1898" s="1"/>
  <c r="I85" i="1898"/>
  <c r="G212" i="1871"/>
  <c r="H171" i="1871"/>
  <c r="F171" i="1871"/>
  <c r="B159" i="1871"/>
  <c r="B158" i="1871"/>
  <c r="J156" i="1871"/>
  <c r="C156" i="1871"/>
  <c r="C138" i="1871"/>
  <c r="H86" i="1871"/>
  <c r="G86" i="1871"/>
  <c r="F86" i="1871"/>
  <c r="B86" i="1871"/>
  <c r="H85" i="1871"/>
  <c r="G85" i="1871"/>
  <c r="F85" i="1871"/>
  <c r="B85" i="1871"/>
  <c r="H84" i="1871"/>
  <c r="G84" i="1871"/>
  <c r="F84" i="1871"/>
  <c r="B84" i="1871"/>
  <c r="H83" i="1871"/>
  <c r="G83" i="1871"/>
  <c r="F83" i="1871"/>
  <c r="B83" i="1871"/>
  <c r="H82" i="1871"/>
  <c r="G82" i="1871"/>
  <c r="F82" i="1871"/>
  <c r="B82" i="1871"/>
  <c r="D28" i="1898"/>
  <c r="C28" i="1898"/>
  <c r="F238" i="1898"/>
  <c r="E239" i="1898" s="1"/>
  <c r="F237" i="1898"/>
  <c r="E238" i="1898" s="1"/>
  <c r="F236" i="1898"/>
  <c r="E237" i="1898" s="1"/>
  <c r="F235" i="1898"/>
  <c r="E236" i="1898" s="1"/>
  <c r="C221" i="1898"/>
  <c r="C170" i="1898"/>
  <c r="K160" i="1898"/>
  <c r="J160" i="1898"/>
  <c r="M159" i="1898"/>
  <c r="L159" i="1898"/>
  <c r="K159" i="1898"/>
  <c r="J159" i="1898"/>
  <c r="K156" i="1898"/>
  <c r="J156" i="1898"/>
  <c r="M155" i="1898"/>
  <c r="L155" i="1898"/>
  <c r="K155" i="1898"/>
  <c r="J155" i="1898"/>
  <c r="M151" i="1898"/>
  <c r="L151" i="1898"/>
  <c r="K151" i="1898"/>
  <c r="J151" i="1898"/>
  <c r="M144" i="1898"/>
  <c r="L144" i="1898"/>
  <c r="K144" i="1898"/>
  <c r="J144" i="1898"/>
  <c r="M137" i="1898"/>
  <c r="L137" i="1898"/>
  <c r="H134" i="1898"/>
  <c r="H135" i="1898" s="1"/>
  <c r="F134" i="1898"/>
  <c r="G134" i="1898" s="1"/>
  <c r="G135" i="1898" s="1"/>
  <c r="H130" i="1898"/>
  <c r="H132" i="1898" s="1"/>
  <c r="F130" i="1898"/>
  <c r="D130" i="1898"/>
  <c r="C130" i="1898"/>
  <c r="G130" i="1898" s="1"/>
  <c r="G132" i="1898" s="1"/>
  <c r="F126" i="1898"/>
  <c r="H124" i="1898"/>
  <c r="F124" i="1898"/>
  <c r="G124" i="1898" s="1"/>
  <c r="F123" i="1898"/>
  <c r="H122" i="1898"/>
  <c r="F122" i="1898"/>
  <c r="G122" i="1898" s="1"/>
  <c r="H119" i="1898"/>
  <c r="F119" i="1898"/>
  <c r="G119" i="1898" s="1"/>
  <c r="G118" i="1898"/>
  <c r="F118" i="1898"/>
  <c r="H118" i="1898" s="1"/>
  <c r="F117" i="1898"/>
  <c r="G115" i="1898"/>
  <c r="L115" i="1898" s="1"/>
  <c r="H114" i="1898"/>
  <c r="H115" i="1898" s="1"/>
  <c r="M115" i="1898" s="1"/>
  <c r="G114" i="1898"/>
  <c r="F114" i="1898"/>
  <c r="M113" i="1898"/>
  <c r="L113" i="1898"/>
  <c r="K113" i="1898"/>
  <c r="J113" i="1898"/>
  <c r="I113" i="1898"/>
  <c r="H113" i="1898"/>
  <c r="G113" i="1898"/>
  <c r="F113" i="1898"/>
  <c r="E113" i="1898"/>
  <c r="D113" i="1898"/>
  <c r="C113" i="1898"/>
  <c r="M136" i="1898"/>
  <c r="M106" i="1898"/>
  <c r="L106" i="1898"/>
  <c r="F105" i="1898"/>
  <c r="G105" i="1898"/>
  <c r="L105" i="1898" s="1"/>
  <c r="F104" i="1898"/>
  <c r="F103" i="1898"/>
  <c r="F102" i="1898"/>
  <c r="G102" i="1898"/>
  <c r="L102" i="1898" s="1"/>
  <c r="G101" i="1898"/>
  <c r="F101" i="1898"/>
  <c r="H101" i="1898" s="1"/>
  <c r="M99" i="1898"/>
  <c r="H99" i="1898"/>
  <c r="G99" i="1898"/>
  <c r="F99" i="1898"/>
  <c r="F98" i="1898"/>
  <c r="F93" i="1898"/>
  <c r="H93" i="1898"/>
  <c r="G93" i="1898"/>
  <c r="F92" i="1898"/>
  <c r="H92" i="1898"/>
  <c r="G92" i="1898"/>
  <c r="F91" i="1898"/>
  <c r="H91" i="1898"/>
  <c r="G91" i="1898"/>
  <c r="F90" i="1898"/>
  <c r="H90" i="1898"/>
  <c r="G90" i="1898"/>
  <c r="F89" i="1898"/>
  <c r="H89" i="1898"/>
  <c r="G89" i="1898"/>
  <c r="F88" i="1898"/>
  <c r="H85" i="1898"/>
  <c r="F85" i="1898"/>
  <c r="G85" i="1898"/>
  <c r="H83" i="1898"/>
  <c r="F83" i="1898"/>
  <c r="G83" i="1898" s="1"/>
  <c r="F82" i="1898"/>
  <c r="M81" i="1898"/>
  <c r="L81" i="1898"/>
  <c r="F80" i="1898"/>
  <c r="H77" i="1898"/>
  <c r="F77" i="1898"/>
  <c r="G77" i="1898" s="1"/>
  <c r="F76" i="1898"/>
  <c r="H75" i="1898"/>
  <c r="F75" i="1898"/>
  <c r="G75" i="1898" s="1"/>
  <c r="F74" i="1898"/>
  <c r="M73" i="1898"/>
  <c r="L73" i="1898"/>
  <c r="K73" i="1898"/>
  <c r="J73" i="1898"/>
  <c r="I73" i="1898"/>
  <c r="H73" i="1898"/>
  <c r="G73" i="1898"/>
  <c r="F73" i="1898"/>
  <c r="E73" i="1898"/>
  <c r="D73" i="1898"/>
  <c r="C73" i="1898"/>
  <c r="M69" i="1898"/>
  <c r="L69" i="1898"/>
  <c r="G67" i="1898"/>
  <c r="F67" i="1898"/>
  <c r="G66" i="1898"/>
  <c r="F66" i="1898"/>
  <c r="H66" i="1898"/>
  <c r="G65" i="1898"/>
  <c r="F65" i="1898"/>
  <c r="H65" i="1898"/>
  <c r="G64" i="1898"/>
  <c r="F64" i="1898"/>
  <c r="H64" i="1898"/>
  <c r="G63" i="1898"/>
  <c r="F63" i="1898"/>
  <c r="H63" i="1898"/>
  <c r="I62" i="1898"/>
  <c r="I66" i="1898" s="1"/>
  <c r="J66" i="1898" s="1"/>
  <c r="F62" i="1898"/>
  <c r="H62" i="1898"/>
  <c r="G62" i="1898"/>
  <c r="M61" i="1898"/>
  <c r="L61" i="1898"/>
  <c r="K61" i="1898"/>
  <c r="J61" i="1898"/>
  <c r="I61" i="1898"/>
  <c r="H61" i="1898"/>
  <c r="G61" i="1898"/>
  <c r="F61" i="1898"/>
  <c r="E61" i="1898"/>
  <c r="D61" i="1898"/>
  <c r="C61" i="1898"/>
  <c r="F58" i="1898"/>
  <c r="H58" i="1898" s="1"/>
  <c r="H57" i="1898"/>
  <c r="F57" i="1898"/>
  <c r="G57" i="1898"/>
  <c r="F56" i="1898"/>
  <c r="F55" i="1898"/>
  <c r="H55" i="1898"/>
  <c r="G55" i="1898"/>
  <c r="F54" i="1898"/>
  <c r="I53" i="1898"/>
  <c r="K53" i="1898" s="1"/>
  <c r="F53" i="1898"/>
  <c r="G53" i="1898" s="1"/>
  <c r="M52" i="1898"/>
  <c r="L52" i="1898"/>
  <c r="K52" i="1898"/>
  <c r="J52" i="1898"/>
  <c r="I52" i="1898"/>
  <c r="H52" i="1898"/>
  <c r="G52" i="1898"/>
  <c r="F52" i="1898"/>
  <c r="E52" i="1898"/>
  <c r="D52" i="1898"/>
  <c r="C52" i="1898"/>
  <c r="F49" i="1898"/>
  <c r="H49" i="1898"/>
  <c r="G49" i="1898"/>
  <c r="I48" i="1898"/>
  <c r="I49" i="1898" s="1"/>
  <c r="F48" i="1898"/>
  <c r="H48" i="1898"/>
  <c r="G48" i="1898"/>
  <c r="M47" i="1898"/>
  <c r="L47" i="1898"/>
  <c r="K47" i="1898"/>
  <c r="J47" i="1898"/>
  <c r="I47" i="1898"/>
  <c r="H47" i="1898"/>
  <c r="G47" i="1898"/>
  <c r="F47" i="1898"/>
  <c r="E47" i="1898"/>
  <c r="D47" i="1898"/>
  <c r="C47" i="1898"/>
  <c r="F44" i="1898"/>
  <c r="H44" i="1898"/>
  <c r="M44" i="1898" s="1"/>
  <c r="J44" i="1898"/>
  <c r="F43" i="1898"/>
  <c r="K43" i="1898"/>
  <c r="J43" i="1898"/>
  <c r="M42" i="1898"/>
  <c r="L42" i="1898"/>
  <c r="K42" i="1898"/>
  <c r="J42" i="1898"/>
  <c r="I42" i="1898"/>
  <c r="H42" i="1898"/>
  <c r="G42" i="1898"/>
  <c r="F42" i="1898"/>
  <c r="E42" i="1898"/>
  <c r="D42" i="1898"/>
  <c r="C42" i="1898"/>
  <c r="M39" i="1898"/>
  <c r="L39" i="1898"/>
  <c r="M38" i="1898"/>
  <c r="L38" i="1898"/>
  <c r="M31" i="1898"/>
  <c r="L31" i="1898"/>
  <c r="I29" i="1898"/>
  <c r="F29" i="1898"/>
  <c r="H29" i="1898"/>
  <c r="G29" i="1898"/>
  <c r="I28" i="1898"/>
  <c r="F28" i="1898"/>
  <c r="B110" i="1898" l="1"/>
  <c r="L75" i="1898"/>
  <c r="M48" i="1898"/>
  <c r="L29" i="1898"/>
  <c r="J53" i="1898"/>
  <c r="L48" i="1898"/>
  <c r="H56" i="1898"/>
  <c r="H102" i="1898"/>
  <c r="M102" i="1898" s="1"/>
  <c r="H43" i="1898"/>
  <c r="M43" i="1898" s="1"/>
  <c r="G44" i="1898"/>
  <c r="L44" i="1898" s="1"/>
  <c r="K49" i="1898"/>
  <c r="H54" i="1898"/>
  <c r="L83" i="1898"/>
  <c r="H103" i="1898"/>
  <c r="M103" i="1898" s="1"/>
  <c r="H104" i="1898"/>
  <c r="M104" i="1898" s="1"/>
  <c r="H105" i="1898"/>
  <c r="M105" i="1898" s="1"/>
  <c r="C206" i="1898"/>
  <c r="L53" i="1898"/>
  <c r="M62" i="1898"/>
  <c r="M75" i="1898"/>
  <c r="L77" i="1898"/>
  <c r="F134" i="1871" s="1"/>
  <c r="M77" i="1898"/>
  <c r="H134" i="1871" s="1"/>
  <c r="L85" i="1898"/>
  <c r="M29" i="1898"/>
  <c r="M85" i="1898"/>
  <c r="L49" i="1898"/>
  <c r="J49" i="1898"/>
  <c r="M49" i="1898"/>
  <c r="J62" i="1898"/>
  <c r="G43" i="1898"/>
  <c r="L43" i="1898" s="1"/>
  <c r="J48" i="1898"/>
  <c r="K62" i="1898"/>
  <c r="I65" i="1898"/>
  <c r="K65" i="1898" s="1"/>
  <c r="M66" i="1898"/>
  <c r="I67" i="1898"/>
  <c r="L67" i="1898" s="1"/>
  <c r="H74" i="1898"/>
  <c r="G74" i="1898"/>
  <c r="L74" i="1898" s="1"/>
  <c r="H80" i="1898"/>
  <c r="G80" i="1898"/>
  <c r="L80" i="1898" s="1"/>
  <c r="F137" i="1871" s="1"/>
  <c r="H88" i="1898"/>
  <c r="G88" i="1898"/>
  <c r="L88" i="1898" s="1"/>
  <c r="C191" i="1898"/>
  <c r="C192" i="1898"/>
  <c r="K44" i="1898"/>
  <c r="K48" i="1898"/>
  <c r="H53" i="1898"/>
  <c r="M53" i="1898" s="1"/>
  <c r="I64" i="1898"/>
  <c r="M64" i="1898" s="1"/>
  <c r="H67" i="1898"/>
  <c r="M74" i="1898"/>
  <c r="M80" i="1898"/>
  <c r="H137" i="1871" s="1"/>
  <c r="H82" i="1898"/>
  <c r="M82" i="1898" s="1"/>
  <c r="H138" i="1871" s="1"/>
  <c r="G82" i="1898"/>
  <c r="L82" i="1898" s="1"/>
  <c r="M88" i="1898"/>
  <c r="M98" i="1898"/>
  <c r="L98" i="1898"/>
  <c r="L99" i="1898"/>
  <c r="G103" i="1898"/>
  <c r="L103" i="1898" s="1"/>
  <c r="N107" i="1898" s="1"/>
  <c r="H117" i="1898"/>
  <c r="H120" i="1898" s="1"/>
  <c r="G117" i="1898"/>
  <c r="G120" i="1898" s="1"/>
  <c r="H123" i="1898"/>
  <c r="G123" i="1898"/>
  <c r="H126" i="1898"/>
  <c r="H128" i="1898" s="1"/>
  <c r="G126" i="1898"/>
  <c r="G128" i="1898" s="1"/>
  <c r="K66" i="1898"/>
  <c r="M76" i="1898"/>
  <c r="H133" i="1871" s="1"/>
  <c r="M97" i="1898"/>
  <c r="H156" i="1871" s="1"/>
  <c r="L97" i="1898"/>
  <c r="F156" i="1871" s="1"/>
  <c r="I57" i="1898"/>
  <c r="K57" i="1898" s="1"/>
  <c r="I55" i="1898"/>
  <c r="L55" i="1898" s="1"/>
  <c r="I58" i="1898"/>
  <c r="K58" i="1898" s="1"/>
  <c r="I56" i="1898"/>
  <c r="M56" i="1898" s="1"/>
  <c r="I54" i="1898"/>
  <c r="G54" i="1898"/>
  <c r="G56" i="1898"/>
  <c r="G58" i="1898"/>
  <c r="L62" i="1898"/>
  <c r="I63" i="1898"/>
  <c r="M63" i="1898" s="1"/>
  <c r="L66" i="1898"/>
  <c r="H76" i="1898"/>
  <c r="G76" i="1898"/>
  <c r="L76" i="1898" s="1"/>
  <c r="F133" i="1871" s="1"/>
  <c r="M83" i="1898"/>
  <c r="G104" i="1898"/>
  <c r="L104" i="1898" s="1"/>
  <c r="C205" i="1898"/>
  <c r="K88" i="1898"/>
  <c r="H146" i="1871" s="1"/>
  <c r="I89" i="1898"/>
  <c r="I90" i="1898"/>
  <c r="I91" i="1898"/>
  <c r="I92" i="1898"/>
  <c r="I93" i="1898"/>
  <c r="I128" i="1898"/>
  <c r="L136" i="1898"/>
  <c r="D69" i="1871"/>
  <c r="I120" i="1898"/>
  <c r="I132" i="1898"/>
  <c r="I135" i="1898"/>
  <c r="F132" i="1871" l="1"/>
  <c r="J56" i="1898"/>
  <c r="F138" i="1871"/>
  <c r="M54" i="1898"/>
  <c r="K64" i="1898"/>
  <c r="E185" i="1898"/>
  <c r="D70" i="1871"/>
  <c r="C184" i="1898"/>
  <c r="C67" i="1871"/>
  <c r="C207" i="1898"/>
  <c r="C208" i="1898" s="1"/>
  <c r="C212" i="1898" s="1"/>
  <c r="C213" i="1898" s="1"/>
  <c r="L56" i="1898"/>
  <c r="H132" i="1871"/>
  <c r="D68" i="1871"/>
  <c r="F243" i="1871"/>
  <c r="C219" i="1871"/>
  <c r="C62" i="1871"/>
  <c r="K55" i="1898"/>
  <c r="B185" i="1898"/>
  <c r="C70" i="1871" s="1"/>
  <c r="K56" i="1898"/>
  <c r="K67" i="1898"/>
  <c r="K63" i="1898"/>
  <c r="L57" i="1898"/>
  <c r="K54" i="1898"/>
  <c r="J57" i="1898"/>
  <c r="J54" i="1898"/>
  <c r="L54" i="1898"/>
  <c r="E174" i="1898"/>
  <c r="B174" i="1898"/>
  <c r="C69" i="1871" s="1"/>
  <c r="M92" i="1898"/>
  <c r="L92" i="1898"/>
  <c r="J58" i="1898"/>
  <c r="M58" i="1898"/>
  <c r="M122" i="1898"/>
  <c r="L122" i="1898"/>
  <c r="M91" i="1898"/>
  <c r="L91" i="1898"/>
  <c r="L58" i="1898"/>
  <c r="J64" i="1898"/>
  <c r="J65" i="1898"/>
  <c r="J55" i="1898"/>
  <c r="M132" i="1898"/>
  <c r="L132" i="1898"/>
  <c r="M146" i="1898"/>
  <c r="K146" i="1898" s="1"/>
  <c r="C66" i="1871"/>
  <c r="L146" i="1898"/>
  <c r="J146" i="1898" s="1"/>
  <c r="M90" i="1898"/>
  <c r="L90" i="1898"/>
  <c r="J63" i="1898"/>
  <c r="M67" i="1898"/>
  <c r="L63" i="1898"/>
  <c r="C193" i="1898"/>
  <c r="J67" i="1898"/>
  <c r="L64" i="1898"/>
  <c r="M57" i="1898"/>
  <c r="M65" i="1898"/>
  <c r="M124" i="1898"/>
  <c r="L124" i="1898"/>
  <c r="M123" i="1898"/>
  <c r="L123" i="1898"/>
  <c r="M120" i="1898"/>
  <c r="L120" i="1898"/>
  <c r="E182" i="1898"/>
  <c r="B182" i="1898"/>
  <c r="M135" i="1898"/>
  <c r="L135" i="1898"/>
  <c r="M128" i="1898"/>
  <c r="L128" i="1898"/>
  <c r="M93" i="1898"/>
  <c r="L93" i="1898"/>
  <c r="M89" i="1898"/>
  <c r="L89" i="1898"/>
  <c r="L65" i="1898"/>
  <c r="E141" i="1898"/>
  <c r="B141" i="1898" s="1"/>
  <c r="I212" i="1871" s="1"/>
  <c r="M55" i="1898"/>
  <c r="B208" i="1898" l="1"/>
  <c r="E208" i="1898"/>
  <c r="C243" i="1871"/>
  <c r="C68" i="1871"/>
  <c r="M70" i="1898"/>
  <c r="M147" i="1898" s="1"/>
  <c r="L70" i="1898"/>
  <c r="L147" i="1898" s="1"/>
  <c r="M138" i="1898"/>
  <c r="C194" i="1898"/>
  <c r="C198" i="1898" s="1"/>
  <c r="C199" i="1898" s="1"/>
  <c r="B194" i="1898"/>
  <c r="E194" i="1898"/>
  <c r="D111" i="1898"/>
  <c r="E66" i="1871" s="1"/>
  <c r="C111" i="1898"/>
  <c r="D66" i="1871" s="1"/>
  <c r="L138" i="1898"/>
  <c r="D110" i="1898"/>
  <c r="E65" i="1871" s="1"/>
  <c r="C110" i="1898"/>
  <c r="D65" i="1871" s="1"/>
  <c r="C214" i="1898"/>
  <c r="C215" i="1898"/>
  <c r="K147" i="1898" l="1"/>
  <c r="H229" i="1871"/>
  <c r="J147" i="1898"/>
  <c r="F229" i="1871"/>
  <c r="C138" i="1898"/>
  <c r="L149" i="1898"/>
  <c r="C200" i="1898"/>
  <c r="C201" i="1898"/>
  <c r="E215" i="1898"/>
  <c r="B215" i="1898"/>
  <c r="D138" i="1898"/>
  <c r="M149" i="1898"/>
  <c r="J149" i="1898" l="1"/>
  <c r="F219" i="1871"/>
  <c r="K149" i="1898"/>
  <c r="H219" i="1871"/>
  <c r="E201" i="1898"/>
  <c r="B201" i="1898"/>
  <c r="G28" i="1898" l="1"/>
  <c r="L28" i="1898" s="1"/>
  <c r="L32" i="1898" s="1"/>
  <c r="L145" i="1898" s="1"/>
  <c r="F228" i="1871" s="1"/>
  <c r="H28" i="1898"/>
  <c r="M28" i="1898" s="1"/>
  <c r="M32" i="1898" s="1"/>
  <c r="M145" i="1898" s="1"/>
  <c r="H228" i="1871" s="1"/>
  <c r="J145" i="1898" l="1"/>
  <c r="K145" i="1898"/>
  <c r="B64" i="1871" l="1" a="1"/>
  <c r="B64" i="1871" s="1"/>
  <c r="B63" i="1871" a="1"/>
  <c r="B63" i="1871" s="1"/>
  <c r="E54" i="1871"/>
  <c r="E53" i="1871"/>
  <c r="E52" i="1871"/>
  <c r="E51" i="1871"/>
  <c r="E50" i="1871"/>
  <c r="E49" i="1871"/>
  <c r="E48" i="1871"/>
  <c r="E47" i="1871"/>
  <c r="E46" i="1871"/>
  <c r="E45" i="1871"/>
  <c r="E44" i="1871"/>
  <c r="G38" i="1871"/>
  <c r="G37" i="1871"/>
  <c r="G36" i="1871"/>
  <c r="G35" i="1871"/>
  <c r="G34" i="1871"/>
  <c r="G33" i="1871"/>
  <c r="D253" i="1871" l="1"/>
  <c r="D252" i="1871"/>
  <c r="J240" i="1871"/>
  <c r="J235" i="1871"/>
  <c r="J227" i="1871"/>
  <c r="F227" i="1871"/>
  <c r="J223" i="1871"/>
  <c r="H223" i="1871"/>
  <c r="F223" i="1871"/>
  <c r="J218" i="1871"/>
  <c r="H218" i="1871"/>
  <c r="F218" i="1871"/>
  <c r="D211" i="1871"/>
  <c r="D210" i="1871"/>
  <c r="D209" i="1871"/>
  <c r="D208" i="1871"/>
  <c r="D207" i="1871"/>
  <c r="J202" i="1871"/>
  <c r="H202" i="1871"/>
  <c r="F202" i="1871"/>
  <c r="D202" i="1871"/>
  <c r="D199" i="1871"/>
  <c r="D179" i="1871"/>
  <c r="D174" i="1871"/>
  <c r="B156" i="1871"/>
  <c r="J155" i="1871"/>
  <c r="H155" i="1871"/>
  <c r="F155" i="1871"/>
  <c r="J145" i="1871"/>
  <c r="H145" i="1871"/>
  <c r="F145" i="1871"/>
  <c r="D145" i="1871"/>
  <c r="J141" i="1871"/>
  <c r="H141" i="1871"/>
  <c r="F141" i="1871"/>
  <c r="D141" i="1871"/>
  <c r="J136" i="1871"/>
  <c r="J158" i="1871" s="1"/>
  <c r="H136" i="1871"/>
  <c r="H158" i="1871" s="1"/>
  <c r="F136" i="1871"/>
  <c r="F158" i="1871" s="1"/>
  <c r="J131" i="1871"/>
  <c r="H127" i="1871"/>
  <c r="F127" i="1871"/>
  <c r="D127" i="1871"/>
  <c r="H126" i="1871"/>
  <c r="F126" i="1871"/>
  <c r="D125" i="1871"/>
  <c r="D124" i="1871"/>
  <c r="H115" i="1871"/>
  <c r="F115" i="1871"/>
  <c r="H107" i="1871"/>
  <c r="F107" i="1871"/>
  <c r="J103" i="1871"/>
  <c r="H103" i="1871"/>
  <c r="F103" i="1871"/>
  <c r="J99" i="1871"/>
  <c r="H99" i="1871"/>
  <c r="J91" i="1871"/>
  <c r="H91" i="1871"/>
  <c r="F91" i="1871"/>
  <c r="D123" i="1871"/>
  <c r="I52" i="1871"/>
  <c r="I51" i="1871"/>
  <c r="D126" i="1871" l="1"/>
  <c r="I101" i="1898"/>
  <c r="K101" i="1898" s="1"/>
  <c r="F161" i="1871"/>
  <c r="H161" i="1871"/>
  <c r="J101" i="1898" l="1"/>
  <c r="M101" i="1898"/>
  <c r="H174" i="1871" s="1"/>
  <c r="L101" i="1898"/>
  <c r="D193" i="1871"/>
  <c r="L107" i="1898" l="1"/>
  <c r="L148" i="1898" s="1"/>
  <c r="H159" i="1871"/>
  <c r="F159" i="1871"/>
  <c r="F174" i="1871"/>
  <c r="M107" i="1898"/>
  <c r="M148" i="1898" s="1"/>
  <c r="D194" i="1871"/>
  <c r="D195" i="1871"/>
  <c r="D192" i="1871"/>
  <c r="J148" i="1898" l="1"/>
  <c r="L152" i="1898"/>
  <c r="J152" i="1898" s="1"/>
  <c r="K148" i="1898"/>
  <c r="M152" i="1898"/>
  <c r="H232" i="1871" s="1"/>
  <c r="F230" i="1871"/>
  <c r="H230" i="1871"/>
  <c r="D191" i="1871"/>
  <c r="D212" i="1871"/>
  <c r="D213" i="1871"/>
  <c r="F232" i="1871" l="1"/>
  <c r="K152" i="1898"/>
  <c r="C169" i="1898" s="1"/>
  <c r="H231" i="1871"/>
  <c r="F231" i="1871"/>
  <c r="C171" i="1898" l="1"/>
  <c r="F236" i="1871" s="1"/>
  <c r="D247" i="1871" l="1"/>
  <c r="B172" i="1898"/>
  <c r="C237" i="1871" s="1"/>
  <c r="C172" i="1898"/>
  <c r="C179" i="1898" s="1"/>
  <c r="C180" i="1898" s="1"/>
  <c r="F241" i="1871" s="1"/>
  <c r="E172" i="1898"/>
  <c r="C181" i="1898" l="1"/>
  <c r="F242" i="1871" s="1"/>
  <c r="C183" i="1898"/>
  <c r="F244" i="1871" s="1"/>
  <c r="F237" i="1871"/>
  <c r="D246" i="1871" s="1"/>
  <c r="J241" i="1871" l="1"/>
  <c r="B183" i="1898"/>
  <c r="E183" i="1898"/>
  <c r="I246" i="1871"/>
  <c r="C175" i="1898" s="1"/>
  <c r="J237" i="1871" s="1"/>
  <c r="D248" i="1871"/>
  <c r="D249" i="1871"/>
  <c r="D250" i="1871"/>
  <c r="J254" i="1871" l="1"/>
  <c r="J263" i="1871" s="1"/>
  <c r="I249" i="1871"/>
  <c r="J243" i="1871"/>
  <c r="X297" i="1798"/>
  <c r="U297" i="1798"/>
  <c r="AF297" i="1798"/>
  <c r="X296" i="1798"/>
  <c r="U296" i="1798"/>
  <c r="AF296" i="1798"/>
  <c r="AF295" i="1798"/>
  <c r="X295" i="1798"/>
  <c r="U295" i="1798"/>
  <c r="AF294" i="1798"/>
  <c r="X294" i="1798"/>
  <c r="U294" i="1798"/>
  <c r="AF267" i="1798"/>
  <c r="AF268" i="1798"/>
  <c r="AF269" i="1798"/>
  <c r="AF270" i="1798"/>
  <c r="AF271" i="1798"/>
  <c r="AF272" i="1798"/>
  <c r="AF273" i="1798"/>
  <c r="AF274" i="1798"/>
  <c r="AF275" i="1798"/>
  <c r="AF276" i="1798"/>
  <c r="AF277" i="1798"/>
  <c r="AF278" i="1798"/>
  <c r="AF279" i="1798"/>
  <c r="AF280" i="1798"/>
  <c r="AF281" i="1798"/>
  <c r="AF282" i="1798"/>
  <c r="AF283" i="1798"/>
  <c r="AF284" i="1798"/>
  <c r="AF285" i="1798"/>
  <c r="AF286" i="1798"/>
  <c r="AF287" i="1798"/>
  <c r="AF288" i="1798"/>
  <c r="AF289" i="1798"/>
  <c r="AF290" i="1798"/>
  <c r="AF291" i="1798"/>
  <c r="AF292" i="1798"/>
  <c r="AF293" i="1798"/>
  <c r="X267" i="1798"/>
  <c r="X268" i="1798"/>
  <c r="X269" i="1798"/>
  <c r="X270" i="1798"/>
  <c r="X271" i="1798"/>
  <c r="X272" i="1798"/>
  <c r="X273" i="1798"/>
  <c r="X274" i="1798"/>
  <c r="X275" i="1798"/>
  <c r="X276" i="1798"/>
  <c r="X278" i="1798"/>
  <c r="X280" i="1798"/>
  <c r="X281" i="1798"/>
  <c r="X282" i="1798"/>
  <c r="X283" i="1798"/>
  <c r="X284" i="1798"/>
  <c r="X285" i="1798"/>
  <c r="X286" i="1798"/>
  <c r="X287" i="1798"/>
  <c r="X288" i="1798"/>
  <c r="X289" i="1798"/>
  <c r="X290" i="1798"/>
  <c r="X291" i="1798"/>
  <c r="X293" i="1798"/>
  <c r="U267" i="1798"/>
  <c r="U268" i="1798"/>
  <c r="U269" i="1798"/>
  <c r="U270" i="1798"/>
  <c r="U271" i="1798"/>
  <c r="U272" i="1798"/>
  <c r="U273" i="1798"/>
  <c r="U274" i="1798"/>
  <c r="U275" i="1798"/>
  <c r="U276" i="1798"/>
  <c r="U278" i="1798"/>
  <c r="U280" i="1798"/>
  <c r="U281" i="1798"/>
  <c r="U282" i="1798"/>
  <c r="U283" i="1798"/>
  <c r="U284" i="1798"/>
  <c r="U285" i="1798"/>
  <c r="U286" i="1798"/>
  <c r="U287" i="1798"/>
  <c r="U288" i="1798"/>
  <c r="U289" i="1798"/>
  <c r="U290" i="1798"/>
  <c r="U291" i="1798"/>
  <c r="U293" i="1798"/>
  <c r="X252" i="1798"/>
  <c r="X253" i="1798"/>
  <c r="X239" i="1798"/>
  <c r="X240" i="1798"/>
  <c r="U239" i="1798"/>
  <c r="U240" i="1798"/>
  <c r="AF239" i="1798"/>
  <c r="X237" i="1798"/>
  <c r="X238" i="1798"/>
  <c r="U237" i="1798"/>
  <c r="U238" i="1798"/>
  <c r="AF238" i="1798"/>
  <c r="AF237" i="1798"/>
  <c r="X235" i="1798"/>
  <c r="X236" i="1798"/>
  <c r="U235" i="1798"/>
  <c r="U236" i="1798"/>
  <c r="AF236" i="1798"/>
  <c r="AF235" i="1798"/>
  <c r="X215" i="1798"/>
  <c r="X216" i="1798"/>
  <c r="X217" i="1798"/>
  <c r="X218" i="1798"/>
  <c r="X219" i="1798"/>
  <c r="X220" i="1798"/>
  <c r="X221" i="1798"/>
  <c r="X222" i="1798"/>
  <c r="X223" i="1798"/>
  <c r="X224" i="1798"/>
  <c r="X225" i="1798"/>
  <c r="X226" i="1798"/>
  <c r="X227" i="1798"/>
  <c r="X228" i="1798"/>
  <c r="X229" i="1798"/>
  <c r="X230" i="1798"/>
  <c r="X231" i="1798"/>
  <c r="X232" i="1798"/>
  <c r="X233" i="1798"/>
  <c r="X234" i="1798"/>
  <c r="U215" i="1798"/>
  <c r="U216" i="1798"/>
  <c r="U217" i="1798"/>
  <c r="U218" i="1798"/>
  <c r="U219" i="1798"/>
  <c r="U220" i="1798"/>
  <c r="U221" i="1798"/>
  <c r="U222" i="1798"/>
  <c r="U223" i="1798"/>
  <c r="U224" i="1798"/>
  <c r="U225" i="1798"/>
  <c r="U226" i="1798"/>
  <c r="U227" i="1798"/>
  <c r="U228" i="1798"/>
  <c r="U229" i="1798"/>
  <c r="U230" i="1798"/>
  <c r="U231" i="1798"/>
  <c r="U232" i="1798"/>
  <c r="U233" i="1798"/>
  <c r="U234" i="1798"/>
  <c r="AF234" i="1798"/>
  <c r="AF233" i="1798"/>
  <c r="X198" i="1798"/>
  <c r="X199" i="1798"/>
  <c r="X200" i="1798"/>
  <c r="X201" i="1798"/>
  <c r="X202" i="1798"/>
  <c r="X183" i="1798"/>
  <c r="X184" i="1798"/>
  <c r="X185" i="1798"/>
  <c r="X186" i="1798"/>
  <c r="X187" i="1798"/>
  <c r="U180" i="1798"/>
  <c r="U181" i="1798"/>
  <c r="U182" i="1798"/>
  <c r="U183" i="1798"/>
  <c r="U184" i="1798"/>
  <c r="U185" i="1798"/>
  <c r="U186" i="1798"/>
  <c r="U187" i="1798"/>
  <c r="X133" i="1798"/>
  <c r="X134" i="1798"/>
  <c r="X135" i="1798"/>
  <c r="X136" i="1798"/>
  <c r="X137" i="1798"/>
  <c r="U133" i="1798"/>
  <c r="U134" i="1798"/>
  <c r="U135" i="1798"/>
  <c r="U136" i="1798"/>
  <c r="U137" i="1798"/>
  <c r="X117" i="1798"/>
  <c r="X118" i="1798"/>
  <c r="U117" i="1798"/>
  <c r="U118" i="1798"/>
  <c r="X102" i="1798"/>
  <c r="X103" i="1798"/>
  <c r="U102" i="1798"/>
  <c r="U103" i="1798"/>
  <c r="X89" i="1798"/>
  <c r="X90" i="1798"/>
  <c r="X91" i="1798"/>
  <c r="U89" i="1798"/>
  <c r="U90" i="1798"/>
  <c r="U91" i="1798"/>
  <c r="AF219" i="1798"/>
  <c r="AF220" i="1798"/>
  <c r="AF221" i="1798"/>
  <c r="AF222" i="1798"/>
  <c r="AF223" i="1798"/>
  <c r="AF224" i="1798"/>
  <c r="AF225" i="1798"/>
  <c r="AF226" i="1798"/>
  <c r="AF227" i="1798"/>
  <c r="AF228" i="1798"/>
  <c r="AF229" i="1798"/>
  <c r="AF230" i="1798"/>
  <c r="AF231" i="1798"/>
  <c r="AF232" i="1798"/>
  <c r="AF215" i="1798"/>
  <c r="AF216" i="1798"/>
  <c r="J244" i="1871" l="1"/>
  <c r="C186" i="1898"/>
  <c r="AF89" i="1798"/>
  <c r="Q555" i="1798" l="1"/>
  <c r="O555" i="1798"/>
  <c r="M555" i="1798"/>
  <c r="K555" i="1798"/>
  <c r="I555" i="1798"/>
  <c r="G555" i="1798"/>
  <c r="E555" i="1798"/>
  <c r="C555" i="1798"/>
  <c r="C554" i="1798"/>
  <c r="Q542" i="1798"/>
  <c r="O542" i="1798"/>
  <c r="M542" i="1798"/>
  <c r="K542" i="1798"/>
  <c r="I542" i="1798"/>
  <c r="G542" i="1798"/>
  <c r="E542" i="1798"/>
  <c r="C542" i="1798"/>
  <c r="C541" i="1798"/>
  <c r="Q524" i="1798"/>
  <c r="O524" i="1798"/>
  <c r="M524" i="1798"/>
  <c r="K524" i="1798"/>
  <c r="I524" i="1798"/>
  <c r="G524" i="1798"/>
  <c r="E524" i="1798"/>
  <c r="C524" i="1798"/>
  <c r="C523" i="1798"/>
  <c r="Q477" i="1798"/>
  <c r="O477" i="1798"/>
  <c r="M477" i="1798"/>
  <c r="K477" i="1798"/>
  <c r="I477" i="1798"/>
  <c r="G477" i="1798"/>
  <c r="E477" i="1798"/>
  <c r="C477" i="1798"/>
  <c r="C476" i="1798"/>
  <c r="Q437" i="1798"/>
  <c r="O437" i="1798"/>
  <c r="M437" i="1798"/>
  <c r="K437" i="1798"/>
  <c r="I437" i="1798"/>
  <c r="G437" i="1798"/>
  <c r="E437" i="1798"/>
  <c r="C437" i="1798"/>
  <c r="C435" i="1798"/>
  <c r="Q407" i="1798"/>
  <c r="O407" i="1798"/>
  <c r="M407" i="1798"/>
  <c r="K407" i="1798"/>
  <c r="I407" i="1798"/>
  <c r="G407" i="1798"/>
  <c r="E407" i="1798"/>
  <c r="C407" i="1798"/>
  <c r="C406" i="1798"/>
  <c r="X361" i="1798"/>
  <c r="U361" i="1798"/>
  <c r="AF360" i="1798"/>
  <c r="AF359" i="1798"/>
  <c r="AF358" i="1798"/>
  <c r="AF357" i="1798"/>
  <c r="AF356" i="1798"/>
  <c r="AF355" i="1798"/>
  <c r="AF354" i="1798"/>
  <c r="X354" i="1798"/>
  <c r="U354" i="1798"/>
  <c r="AF353" i="1798"/>
  <c r="X353" i="1798"/>
  <c r="U353" i="1798"/>
  <c r="AF352" i="1798"/>
  <c r="AF351" i="1798"/>
  <c r="AF342" i="1798"/>
  <c r="X342" i="1798"/>
  <c r="U342" i="1798"/>
  <c r="AF341" i="1798"/>
  <c r="AF340" i="1798"/>
  <c r="AF339" i="1798"/>
  <c r="AF338" i="1798"/>
  <c r="AF337" i="1798"/>
  <c r="AF336" i="1798"/>
  <c r="AF335" i="1798"/>
  <c r="X335" i="1798"/>
  <c r="U335" i="1798"/>
  <c r="AF334" i="1798"/>
  <c r="X334" i="1798"/>
  <c r="U334" i="1798"/>
  <c r="AF333" i="1798"/>
  <c r="AF332" i="1798"/>
  <c r="AF311" i="1798"/>
  <c r="AF310" i="1798"/>
  <c r="AF309" i="1798"/>
  <c r="AF308" i="1798"/>
  <c r="AF307" i="1798"/>
  <c r="AF306" i="1798"/>
  <c r="AF305" i="1798"/>
  <c r="AF304" i="1798"/>
  <c r="AF303" i="1798"/>
  <c r="AF302" i="1798"/>
  <c r="AF266" i="1798"/>
  <c r="X266" i="1798"/>
  <c r="U266" i="1798"/>
  <c r="AF265" i="1798"/>
  <c r="X265" i="1798"/>
  <c r="U265" i="1798"/>
  <c r="AF264" i="1798"/>
  <c r="X264" i="1798"/>
  <c r="U264" i="1798"/>
  <c r="AF263" i="1798"/>
  <c r="X263" i="1798"/>
  <c r="U263" i="1798"/>
  <c r="AF262" i="1798"/>
  <c r="X262" i="1798"/>
  <c r="U262" i="1798"/>
  <c r="AF261" i="1798"/>
  <c r="X261" i="1798"/>
  <c r="U261" i="1798"/>
  <c r="AF260" i="1798"/>
  <c r="X260" i="1798"/>
  <c r="U260" i="1798"/>
  <c r="AF259" i="1798"/>
  <c r="X259" i="1798"/>
  <c r="U259" i="1798"/>
  <c r="AF258" i="1798"/>
  <c r="X258" i="1798"/>
  <c r="U258" i="1798"/>
  <c r="AF257" i="1798"/>
  <c r="X257" i="1798"/>
  <c r="U257" i="1798"/>
  <c r="AF256" i="1798"/>
  <c r="X256" i="1798"/>
  <c r="U256" i="1798"/>
  <c r="AF255" i="1798"/>
  <c r="X255" i="1798"/>
  <c r="U255" i="1798"/>
  <c r="AF254" i="1798"/>
  <c r="X254" i="1798"/>
  <c r="U254" i="1798"/>
  <c r="AF253" i="1798"/>
  <c r="U253" i="1798"/>
  <c r="AF252" i="1798"/>
  <c r="U252" i="1798"/>
  <c r="AF251" i="1798"/>
  <c r="X251" i="1798"/>
  <c r="U251" i="1798"/>
  <c r="AF250" i="1798"/>
  <c r="AF249" i="1798"/>
  <c r="AF248" i="1798"/>
  <c r="AF247" i="1798"/>
  <c r="AF246" i="1798"/>
  <c r="AF245" i="1798"/>
  <c r="AF244" i="1798"/>
  <c r="AF243" i="1798"/>
  <c r="AF242" i="1798"/>
  <c r="AF241" i="1798"/>
  <c r="AF240" i="1798"/>
  <c r="AF218" i="1798"/>
  <c r="AF217" i="1798"/>
  <c r="AF214" i="1798"/>
  <c r="X214" i="1798"/>
  <c r="U214" i="1798"/>
  <c r="AF213" i="1798"/>
  <c r="AF212" i="1798"/>
  <c r="AF211" i="1798"/>
  <c r="AF210" i="1798"/>
  <c r="AF209" i="1798"/>
  <c r="AF208" i="1798"/>
  <c r="AF207" i="1798"/>
  <c r="AF206" i="1798"/>
  <c r="AF205" i="1798"/>
  <c r="AF204" i="1798"/>
  <c r="AF203" i="1798"/>
  <c r="AF202" i="1798"/>
  <c r="U202" i="1798"/>
  <c r="AF201" i="1798"/>
  <c r="U201" i="1798"/>
  <c r="AF200" i="1798"/>
  <c r="U200" i="1798"/>
  <c r="AF199" i="1798"/>
  <c r="U199" i="1798"/>
  <c r="AF198" i="1798"/>
  <c r="U198" i="1798"/>
  <c r="AF197" i="1798"/>
  <c r="X197" i="1798"/>
  <c r="U197" i="1798"/>
  <c r="AF196" i="1798"/>
  <c r="AF195" i="1798"/>
  <c r="AF194" i="1798"/>
  <c r="AF193" i="1798"/>
  <c r="AF192" i="1798"/>
  <c r="AF191" i="1798"/>
  <c r="AF190" i="1798"/>
  <c r="AF189" i="1798"/>
  <c r="AF188" i="1798"/>
  <c r="AF187" i="1798"/>
  <c r="AF186" i="1798"/>
  <c r="AF185" i="1798"/>
  <c r="AF184" i="1798"/>
  <c r="AF183" i="1798"/>
  <c r="AF182" i="1798"/>
  <c r="AF181" i="1798"/>
  <c r="AF180" i="1798"/>
  <c r="AF179" i="1798"/>
  <c r="U179" i="1798"/>
  <c r="AF178" i="1798"/>
  <c r="U178" i="1798"/>
  <c r="AF177" i="1798"/>
  <c r="U177" i="1798"/>
  <c r="AF176" i="1798"/>
  <c r="X176" i="1798"/>
  <c r="U176" i="1798"/>
  <c r="AF175" i="1798"/>
  <c r="AF174" i="1798"/>
  <c r="AF173" i="1798"/>
  <c r="AF172" i="1798"/>
  <c r="AF171" i="1798"/>
  <c r="AF170" i="1798"/>
  <c r="AF169" i="1798"/>
  <c r="AF168" i="1798"/>
  <c r="AF167" i="1798"/>
  <c r="AF166" i="1798"/>
  <c r="AF165" i="1798"/>
  <c r="AF162" i="1798"/>
  <c r="AF161" i="1798"/>
  <c r="AF160" i="1798"/>
  <c r="AF159" i="1798"/>
  <c r="AF158" i="1798"/>
  <c r="AF157" i="1798"/>
  <c r="AF156" i="1798"/>
  <c r="AF155" i="1798"/>
  <c r="AF154" i="1798"/>
  <c r="AF153" i="1798"/>
  <c r="AF152" i="1798"/>
  <c r="AF146" i="1798"/>
  <c r="AF145" i="1798"/>
  <c r="AF144" i="1798"/>
  <c r="AF143" i="1798"/>
  <c r="AF142" i="1798"/>
  <c r="AF141" i="1798"/>
  <c r="AF140" i="1798"/>
  <c r="AF139" i="1798"/>
  <c r="AF138" i="1798"/>
  <c r="AF137" i="1798"/>
  <c r="AF136" i="1798"/>
  <c r="AF135" i="1798"/>
  <c r="AF134" i="1798"/>
  <c r="AF133" i="1798"/>
  <c r="AF132" i="1798"/>
  <c r="X132" i="1798"/>
  <c r="U132" i="1798"/>
  <c r="AF131" i="1798"/>
  <c r="X131" i="1798"/>
  <c r="U131" i="1798"/>
  <c r="AF130" i="1798"/>
  <c r="X130" i="1798"/>
  <c r="U130" i="1798"/>
  <c r="AF129" i="1798"/>
  <c r="X129" i="1798"/>
  <c r="U129" i="1798"/>
  <c r="AF128" i="1798"/>
  <c r="X128" i="1798"/>
  <c r="U128" i="1798"/>
  <c r="AF127" i="1798"/>
  <c r="AF126" i="1798"/>
  <c r="X126" i="1798"/>
  <c r="U126" i="1798"/>
  <c r="AF125" i="1798"/>
  <c r="X125" i="1798"/>
  <c r="U125" i="1798"/>
  <c r="AF124" i="1798"/>
  <c r="X124" i="1798"/>
  <c r="U124" i="1798"/>
  <c r="AF123" i="1798"/>
  <c r="X123" i="1798"/>
  <c r="U123" i="1798"/>
  <c r="AF122" i="1798"/>
  <c r="X122" i="1798"/>
  <c r="U122" i="1798"/>
  <c r="AF121" i="1798"/>
  <c r="X121" i="1798"/>
  <c r="U121" i="1798"/>
  <c r="AF120" i="1798"/>
  <c r="X120" i="1798"/>
  <c r="U120" i="1798"/>
  <c r="AF119" i="1798"/>
  <c r="X119" i="1798"/>
  <c r="U119" i="1798"/>
  <c r="AF118" i="1798"/>
  <c r="AF117" i="1798"/>
  <c r="AF116" i="1798"/>
  <c r="X116" i="1798"/>
  <c r="U116" i="1798"/>
  <c r="AF115" i="1798"/>
  <c r="AF114" i="1798"/>
  <c r="X114" i="1798"/>
  <c r="U114" i="1798"/>
  <c r="AF113" i="1798"/>
  <c r="X113" i="1798"/>
  <c r="U113" i="1798"/>
  <c r="AF112" i="1798"/>
  <c r="X112" i="1798"/>
  <c r="U112" i="1798"/>
  <c r="AF111" i="1798"/>
  <c r="X111" i="1798"/>
  <c r="U111" i="1798"/>
  <c r="AF110" i="1798"/>
  <c r="X110" i="1798"/>
  <c r="U110" i="1798"/>
  <c r="AF109" i="1798"/>
  <c r="X109" i="1798"/>
  <c r="U109" i="1798"/>
  <c r="AF108" i="1798"/>
  <c r="X108" i="1798"/>
  <c r="U108" i="1798"/>
  <c r="AF107" i="1798"/>
  <c r="X107" i="1798"/>
  <c r="U107" i="1798"/>
  <c r="AF106" i="1798"/>
  <c r="X106" i="1798"/>
  <c r="U106" i="1798"/>
  <c r="AF105" i="1798"/>
  <c r="X105" i="1798"/>
  <c r="U105" i="1798"/>
  <c r="AF104" i="1798"/>
  <c r="AF103" i="1798"/>
  <c r="AF102" i="1798"/>
  <c r="AF101" i="1798"/>
  <c r="X101" i="1798"/>
  <c r="U101" i="1798"/>
  <c r="AF100" i="1798"/>
  <c r="AF99" i="1798"/>
  <c r="X99" i="1798"/>
  <c r="U99" i="1798"/>
  <c r="AF98" i="1798"/>
  <c r="X98" i="1798"/>
  <c r="U98" i="1798"/>
  <c r="AF97" i="1798"/>
  <c r="X97" i="1798"/>
  <c r="U97" i="1798"/>
  <c r="AF96" i="1798"/>
  <c r="X96" i="1798"/>
  <c r="U96" i="1798"/>
  <c r="AF95" i="1798"/>
  <c r="X95" i="1798"/>
  <c r="U95" i="1798"/>
  <c r="AF94" i="1798"/>
  <c r="X94" i="1798"/>
  <c r="U94" i="1798"/>
  <c r="AF93" i="1798"/>
  <c r="X93" i="1798"/>
  <c r="U93" i="1798"/>
  <c r="AF92" i="1798"/>
  <c r="X92" i="1798"/>
  <c r="U92" i="1798"/>
  <c r="AF91" i="1798"/>
  <c r="AF90" i="1798"/>
  <c r="AF88" i="1798"/>
  <c r="X88" i="1798"/>
  <c r="U88" i="1798"/>
  <c r="AF87" i="1798"/>
  <c r="X87" i="1798"/>
  <c r="U87" i="1798"/>
  <c r="AF86" i="1798"/>
  <c r="X86" i="1798"/>
  <c r="U86" i="1798"/>
  <c r="AF85" i="1798"/>
  <c r="X85" i="1798"/>
  <c r="U85" i="1798"/>
  <c r="AF84" i="1798"/>
  <c r="X84" i="1798"/>
  <c r="U84" i="1798"/>
  <c r="A31" i="32" l="1"/>
  <c r="A32" i="32"/>
  <c r="A33" i="32"/>
  <c r="A34" i="32"/>
  <c r="A35" i="32"/>
  <c r="A40" i="32"/>
  <c r="A41" i="32"/>
  <c r="A42" i="32"/>
  <c r="A43" i="32"/>
  <c r="A44" i="32"/>
  <c r="A49" i="32"/>
  <c r="A50" i="32"/>
  <c r="A51" i="32"/>
  <c r="A52" i="32"/>
  <c r="A53" i="32"/>
  <c r="A58" i="32"/>
  <c r="A59" i="32"/>
  <c r="A60" i="32"/>
  <c r="A61" i="32"/>
  <c r="A62" i="32"/>
  <c r="B11" i="32"/>
  <c r="A12" i="32"/>
  <c r="B12" i="32"/>
  <c r="C12" i="32"/>
  <c r="D12" i="32"/>
  <c r="E12" i="32"/>
  <c r="F12" i="32"/>
  <c r="G12" i="32"/>
  <c r="H12" i="32"/>
  <c r="I12" i="32"/>
  <c r="J12" i="32"/>
  <c r="K12" i="32"/>
  <c r="L12" i="32"/>
  <c r="A13" i="32"/>
  <c r="A14" i="32"/>
  <c r="A15" i="32"/>
  <c r="A16" i="32"/>
  <c r="A17" i="32"/>
  <c r="A18" i="32"/>
  <c r="B20" i="32"/>
  <c r="A21" i="32"/>
  <c r="B21" i="32"/>
  <c r="C21" i="32"/>
  <c r="D21" i="32"/>
  <c r="E21" i="32"/>
  <c r="F21" i="32"/>
  <c r="G21" i="32"/>
  <c r="H21" i="32"/>
  <c r="I21" i="32"/>
  <c r="J21" i="32"/>
  <c r="K21" i="32"/>
  <c r="L21" i="32"/>
  <c r="A22" i="32"/>
  <c r="A23" i="32"/>
  <c r="A24" i="32"/>
  <c r="A25" i="32"/>
  <c r="A26" i="32"/>
  <c r="A27" i="32"/>
  <c r="B29" i="32"/>
  <c r="A30" i="32"/>
  <c r="B30" i="32"/>
  <c r="C30" i="32"/>
  <c r="D30" i="32"/>
  <c r="E30" i="32"/>
  <c r="F30" i="32"/>
  <c r="G30" i="32"/>
  <c r="H30" i="32"/>
  <c r="I30" i="32"/>
  <c r="J30" i="32"/>
  <c r="K30" i="32"/>
  <c r="L30" i="32"/>
  <c r="A36" i="32"/>
  <c r="B38" i="32"/>
  <c r="A39" i="32"/>
  <c r="B39" i="32"/>
  <c r="C39" i="32"/>
  <c r="D39" i="32"/>
  <c r="E39" i="32"/>
  <c r="F39" i="32"/>
  <c r="G39" i="32"/>
  <c r="H39" i="32"/>
  <c r="I39" i="32"/>
  <c r="J39" i="32"/>
  <c r="K39" i="32"/>
  <c r="L39" i="32"/>
  <c r="A45" i="32"/>
  <c r="B47" i="32"/>
  <c r="A48" i="32"/>
  <c r="B48" i="32"/>
  <c r="C48" i="32"/>
  <c r="D48" i="32"/>
  <c r="E48" i="32"/>
  <c r="F48" i="32"/>
  <c r="G48" i="32"/>
  <c r="H48" i="32"/>
  <c r="I48" i="32"/>
  <c r="J48" i="32"/>
  <c r="K48" i="32"/>
  <c r="L48" i="32"/>
  <c r="A54" i="32"/>
  <c r="A57" i="32"/>
  <c r="B57" i="32"/>
  <c r="C57" i="32"/>
  <c r="D57" i="32"/>
  <c r="E57" i="32"/>
  <c r="F57" i="32"/>
  <c r="G57" i="32"/>
  <c r="H57" i="32"/>
  <c r="I57" i="32"/>
  <c r="J57" i="32"/>
  <c r="K57" i="32"/>
  <c r="L57" i="32"/>
  <c r="A63" i="32"/>
  <c r="B65" i="32"/>
  <c r="A66" i="32"/>
  <c r="B66" i="32"/>
  <c r="C66" i="32"/>
  <c r="D66" i="32"/>
  <c r="E66" i="32"/>
  <c r="F66" i="32"/>
  <c r="G66" i="32"/>
  <c r="H66" i="32"/>
  <c r="I66" i="32"/>
  <c r="J66" i="32"/>
  <c r="K66" i="32"/>
  <c r="L66" i="32"/>
  <c r="A67" i="32"/>
  <c r="A68" i="32"/>
  <c r="A69" i="32"/>
  <c r="A70" i="32"/>
  <c r="A71" i="32"/>
  <c r="A72" i="32"/>
  <c r="B74" i="32"/>
  <c r="A75" i="32"/>
  <c r="B75" i="32"/>
  <c r="C75" i="32"/>
  <c r="D75" i="32"/>
  <c r="E75" i="32"/>
  <c r="F75" i="32"/>
  <c r="G75" i="32"/>
  <c r="H75" i="32"/>
  <c r="I75" i="32"/>
  <c r="J75" i="32"/>
  <c r="K75" i="32"/>
  <c r="L75" i="32"/>
  <c r="A76" i="32"/>
  <c r="A77" i="32"/>
  <c r="A78" i="32"/>
  <c r="A79" i="32"/>
  <c r="A80" i="32"/>
  <c r="A81" i="32"/>
  <c r="B83" i="32"/>
  <c r="A84" i="32"/>
  <c r="B84" i="32"/>
  <c r="C84" i="32"/>
  <c r="D84" i="32"/>
  <c r="E84" i="32"/>
  <c r="F84" i="32"/>
  <c r="G84" i="32"/>
  <c r="H84" i="32"/>
  <c r="I84" i="32"/>
  <c r="J84" i="32"/>
  <c r="K84" i="32"/>
  <c r="L84" i="32"/>
  <c r="A85" i="32"/>
  <c r="A86" i="32"/>
  <c r="A87" i="32"/>
  <c r="A88" i="32"/>
  <c r="A89" i="32"/>
  <c r="A90" i="32"/>
  <c r="B92" i="32"/>
  <c r="A93" i="32"/>
  <c r="B93" i="32"/>
  <c r="C93" i="32"/>
  <c r="D93" i="32"/>
  <c r="E93" i="32"/>
  <c r="F93" i="32"/>
  <c r="G93" i="32"/>
  <c r="H93" i="32"/>
  <c r="I93" i="32"/>
  <c r="J93" i="32"/>
  <c r="K93" i="32"/>
  <c r="L93" i="32"/>
  <c r="A94" i="32"/>
  <c r="A95" i="32"/>
  <c r="A96" i="32"/>
  <c r="A97" i="32"/>
  <c r="A98" i="32"/>
  <c r="A99" i="3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Lüthi Martin</author>
  </authors>
  <commentList>
    <comment ref="E32" authorId="0" shapeId="0" xr:uid="{2C526A09-F06A-4AF2-B0F9-7378130F8E1D}">
      <text>
        <r>
          <rPr>
            <b/>
            <sz val="8"/>
            <color indexed="81"/>
            <rFont val="Tahoma"/>
            <family val="2"/>
          </rPr>
          <t>Lüthi Martin:</t>
        </r>
        <r>
          <rPr>
            <sz val="8"/>
            <color indexed="81"/>
            <rFont val="Tahoma"/>
            <family val="2"/>
          </rPr>
          <t xml:space="preserve">
If you change order, you have to correct following tests:
- on sheet "Fx72x_Panel"  D123:D127
- on sheet "Panel_comp"  column "I" and B109:D111</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Martin Lüthi</author>
    <author>Urs Kästli</author>
  </authors>
  <commentList>
    <comment ref="AD82" authorId="0" shapeId="0" xr:uid="{47587FB8-3CDC-4D6B-8BC4-C33A558637CA}">
      <text>
        <r>
          <rPr>
            <b/>
            <sz val="9"/>
            <color indexed="81"/>
            <rFont val="Tahoma"/>
            <family val="2"/>
          </rPr>
          <t>Martin Lüthi:</t>
        </r>
        <r>
          <rPr>
            <sz val="9"/>
            <color indexed="81"/>
            <rFont val="Tahoma"/>
            <family val="2"/>
          </rPr>
          <t xml:space="preserve">
0: 0.4ohm/1.5A
1: 0.1ohm/1.5A</t>
        </r>
      </text>
    </comment>
    <comment ref="AE82" authorId="0" shapeId="0" xr:uid="{FCFC3631-4B0B-459D-90D2-754D41AFE8D8}">
      <text>
        <r>
          <rPr>
            <b/>
            <sz val="9"/>
            <color indexed="81"/>
            <rFont val="Tahoma"/>
            <family val="2"/>
          </rPr>
          <t>Martin Lüthi:</t>
        </r>
        <r>
          <rPr>
            <sz val="9"/>
            <color indexed="81"/>
            <rFont val="Tahoma"/>
            <family val="2"/>
          </rPr>
          <t xml:space="preserve">
0: Vmin possible
1: Device need  at min. 16V</t>
        </r>
      </text>
    </comment>
    <comment ref="AA334" authorId="1" shapeId="0" xr:uid="{B1EE6D7F-CB1D-4838-AA14-02E95C80B153}">
      <text>
        <r>
          <rPr>
            <b/>
            <sz val="9"/>
            <color indexed="81"/>
            <rFont val="Tahoma"/>
            <family val="2"/>
          </rPr>
          <t>Urs Kästli:</t>
        </r>
        <r>
          <rPr>
            <sz val="9"/>
            <color indexed="81"/>
            <rFont val="Tahoma"/>
            <family val="2"/>
          </rPr>
          <t xml:space="preserve">
Ex-devices actually have an isolator, but Ex-Line resistance is not calculated in this tool,
Ex-Line is assumed worst case.</t>
        </r>
      </text>
    </comment>
    <comment ref="AA335" authorId="1" shapeId="0" xr:uid="{F183084A-70FA-4753-858E-8FF814730293}">
      <text>
        <r>
          <rPr>
            <b/>
            <sz val="9"/>
            <color indexed="81"/>
            <rFont val="Tahoma"/>
            <family val="2"/>
          </rPr>
          <t>Urs Kästli:</t>
        </r>
        <r>
          <rPr>
            <sz val="9"/>
            <color indexed="81"/>
            <rFont val="Tahoma"/>
            <family val="2"/>
          </rPr>
          <t xml:space="preserve">
Ex-devices actually have an isolator, but Ex-Line resistance is not calculated in this tool,
Ex-Line is assumed worst case.</t>
        </r>
      </text>
    </comment>
    <comment ref="AA342" authorId="1" shapeId="0" xr:uid="{CC69ED77-1C98-4758-AC4E-0767BCFC1A61}">
      <text>
        <r>
          <rPr>
            <b/>
            <sz val="9"/>
            <color indexed="81"/>
            <rFont val="Tahoma"/>
            <family val="2"/>
          </rPr>
          <t>Urs Kästli:</t>
        </r>
        <r>
          <rPr>
            <sz val="9"/>
            <color indexed="81"/>
            <rFont val="Tahoma"/>
            <family val="2"/>
          </rPr>
          <t xml:space="preserve">
Ex-devices actually have an isolator, but Ex-Line resistance is not calculated in this tool,
Ex-Line is assumed worst case.</t>
        </r>
      </text>
    </comment>
    <comment ref="AA353" authorId="1" shapeId="0" xr:uid="{67CBBE56-5D30-494B-BBAD-490CFFD438B1}">
      <text>
        <r>
          <rPr>
            <b/>
            <sz val="9"/>
            <color indexed="81"/>
            <rFont val="Tahoma"/>
            <family val="2"/>
          </rPr>
          <t>Urs Kästli:</t>
        </r>
        <r>
          <rPr>
            <sz val="9"/>
            <color indexed="81"/>
            <rFont val="Tahoma"/>
            <family val="2"/>
          </rPr>
          <t xml:space="preserve">
Ex-devices actually have an isolator, but Ex-Line resistance is not calculated in this tool,
Ex-Line is assumed worst case.</t>
        </r>
      </text>
    </comment>
    <comment ref="AA354" authorId="1" shapeId="0" xr:uid="{CD258FB7-F906-42B4-BD65-2A80EFB26538}">
      <text>
        <r>
          <rPr>
            <b/>
            <sz val="9"/>
            <color indexed="81"/>
            <rFont val="Tahoma"/>
            <family val="2"/>
          </rPr>
          <t>Urs Kästli:</t>
        </r>
        <r>
          <rPr>
            <sz val="9"/>
            <color indexed="81"/>
            <rFont val="Tahoma"/>
            <family val="2"/>
          </rPr>
          <t xml:space="preserve">
Ex-devices actually have an isolator, but Ex-Line resistance is not calculated in this tool,
Ex-Line is assumed worst case.</t>
        </r>
      </text>
    </comment>
    <comment ref="AA361" authorId="1" shapeId="0" xr:uid="{F2F59B23-F8D1-4262-AEB0-BEE30D3F28CB}">
      <text>
        <r>
          <rPr>
            <b/>
            <sz val="9"/>
            <color indexed="81"/>
            <rFont val="Tahoma"/>
            <family val="2"/>
          </rPr>
          <t>Urs Kästli:</t>
        </r>
        <r>
          <rPr>
            <sz val="9"/>
            <color indexed="81"/>
            <rFont val="Tahoma"/>
            <family val="2"/>
          </rPr>
          <t xml:space="preserve">
Ex-devices actually have an isolator, but Ex-Line resistance is not calculated in this tool,
Ex-Line is assumed worst case.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Martin Lüthi</author>
    <author>Urs Kästli</author>
  </authors>
  <commentList>
    <comment ref="AD82" authorId="0" shapeId="0" xr:uid="{AE8005F8-1552-4C36-A130-94A737F7FD1F}">
      <text>
        <r>
          <rPr>
            <b/>
            <sz val="9"/>
            <color indexed="81"/>
            <rFont val="Tahoma"/>
            <family val="2"/>
          </rPr>
          <t>Martin Lüthi:</t>
        </r>
        <r>
          <rPr>
            <sz val="9"/>
            <color indexed="81"/>
            <rFont val="Tahoma"/>
            <family val="2"/>
          </rPr>
          <t xml:space="preserve">
0: 0.4ohm/1.5A
1: 0.1ohm/1.5A</t>
        </r>
      </text>
    </comment>
    <comment ref="AE82" authorId="0" shapeId="0" xr:uid="{902B9C55-16CB-4584-9C17-07AFDCF05B93}">
      <text>
        <r>
          <rPr>
            <b/>
            <sz val="9"/>
            <color indexed="81"/>
            <rFont val="Tahoma"/>
            <family val="2"/>
          </rPr>
          <t>Martin Lüthi:</t>
        </r>
        <r>
          <rPr>
            <sz val="9"/>
            <color indexed="81"/>
            <rFont val="Tahoma"/>
            <family val="2"/>
          </rPr>
          <t xml:space="preserve">
0: Vmin possible
1: Device need  at min. 16V</t>
        </r>
      </text>
    </comment>
    <comment ref="AA334" authorId="1" shapeId="0" xr:uid="{57F3D55E-7487-438B-907B-10BA549EA8CF}">
      <text>
        <r>
          <rPr>
            <b/>
            <sz val="9"/>
            <color indexed="81"/>
            <rFont val="Tahoma"/>
            <family val="2"/>
          </rPr>
          <t>Urs Kästli:</t>
        </r>
        <r>
          <rPr>
            <sz val="9"/>
            <color indexed="81"/>
            <rFont val="Tahoma"/>
            <family val="2"/>
          </rPr>
          <t xml:space="preserve">
Ex-devices actually have an isolator, but Ex-Line resistance is not calculated in this tool,
Ex-Line is assumed worst case.</t>
        </r>
      </text>
    </comment>
    <comment ref="AA335" authorId="1" shapeId="0" xr:uid="{A62D94CB-7E6F-4D01-B8CE-B106DB62F858}">
      <text>
        <r>
          <rPr>
            <b/>
            <sz val="9"/>
            <color indexed="81"/>
            <rFont val="Tahoma"/>
            <family val="2"/>
          </rPr>
          <t>Urs Kästli:</t>
        </r>
        <r>
          <rPr>
            <sz val="9"/>
            <color indexed="81"/>
            <rFont val="Tahoma"/>
            <family val="2"/>
          </rPr>
          <t xml:space="preserve">
Ex-devices actually have an isolator, but Ex-Line resistance is not calculated in this tool,
Ex-Line is assumed worst case.</t>
        </r>
      </text>
    </comment>
    <comment ref="AA342" authorId="1" shapeId="0" xr:uid="{9FDA55D0-3B46-4502-AEBA-4131AB1B210E}">
      <text>
        <r>
          <rPr>
            <b/>
            <sz val="9"/>
            <color indexed="81"/>
            <rFont val="Tahoma"/>
            <family val="2"/>
          </rPr>
          <t>Urs Kästli:</t>
        </r>
        <r>
          <rPr>
            <sz val="9"/>
            <color indexed="81"/>
            <rFont val="Tahoma"/>
            <family val="2"/>
          </rPr>
          <t xml:space="preserve">
Ex-devices actually have an isolator, but Ex-Line resistance is not calculated in this tool,
Ex-Line is assumed worst case.</t>
        </r>
      </text>
    </comment>
    <comment ref="AA353" authorId="1" shapeId="0" xr:uid="{006A1FED-FCD0-48CD-8BD2-69B7BF2A3F45}">
      <text>
        <r>
          <rPr>
            <b/>
            <sz val="9"/>
            <color indexed="81"/>
            <rFont val="Tahoma"/>
            <family val="2"/>
          </rPr>
          <t>Urs Kästli:</t>
        </r>
        <r>
          <rPr>
            <sz val="9"/>
            <color indexed="81"/>
            <rFont val="Tahoma"/>
            <family val="2"/>
          </rPr>
          <t xml:space="preserve">
Ex-devices actually have an isolator, but Ex-Line resistance is not calculated in this tool,
Ex-Line is assumed worst case.</t>
        </r>
      </text>
    </comment>
    <comment ref="AA354" authorId="1" shapeId="0" xr:uid="{44F01724-1D43-4951-9D8A-71196BE35F0D}">
      <text>
        <r>
          <rPr>
            <b/>
            <sz val="9"/>
            <color indexed="81"/>
            <rFont val="Tahoma"/>
            <family val="2"/>
          </rPr>
          <t>Urs Kästli:</t>
        </r>
        <r>
          <rPr>
            <sz val="9"/>
            <color indexed="81"/>
            <rFont val="Tahoma"/>
            <family val="2"/>
          </rPr>
          <t xml:space="preserve">
Ex-devices actually have an isolator, but Ex-Line resistance is not calculated in this tool,
Ex-Line is assumed worst case.</t>
        </r>
      </text>
    </comment>
    <comment ref="AA361" authorId="1" shapeId="0" xr:uid="{AE783446-618E-4390-B547-EB04D0EC4738}">
      <text>
        <r>
          <rPr>
            <b/>
            <sz val="9"/>
            <color indexed="81"/>
            <rFont val="Tahoma"/>
            <family val="2"/>
          </rPr>
          <t>Urs Kästli:</t>
        </r>
        <r>
          <rPr>
            <sz val="9"/>
            <color indexed="81"/>
            <rFont val="Tahoma"/>
            <family val="2"/>
          </rPr>
          <t xml:space="preserve">
Ex-devices actually have an isolator, but Ex-Line resistance is not calculated in this tool,
Ex-Line is assumed worst case.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Yang, Yu Jin (SI BP MA BSCE R&amp;D MDI)</author>
    <author>EXT_GaetziL</author>
    <author>Lüthi Martin</author>
    <author>Andreas Trümpy</author>
  </authors>
  <commentList>
    <comment ref="P80" authorId="0" shapeId="0" xr:uid="{96AC8439-6F1B-40D7-8D64-60A94FB95DAC}">
      <text>
        <r>
          <rPr>
            <b/>
            <sz val="9"/>
            <color indexed="81"/>
            <rFont val="Tahoma"/>
            <family val="2"/>
          </rPr>
          <t>Yang, Yu Jin (SI BP MA BSCE R&amp;D MDI):</t>
        </r>
        <r>
          <rPr>
            <sz val="9"/>
            <color indexed="81"/>
            <rFont val="Tahoma"/>
            <family val="2"/>
          </rPr>
          <t xml:space="preserve">
Don't delete YES and NO, if there is Ethernet connection</t>
        </r>
      </text>
    </comment>
    <comment ref="M97" authorId="0" shapeId="0" xr:uid="{DA5CADAB-600D-4541-82B8-88FC5B9D8630}">
      <text>
        <r>
          <rPr>
            <b/>
            <sz val="9"/>
            <color indexed="81"/>
            <rFont val="Tahoma"/>
            <family val="2"/>
          </rPr>
          <t>Yang, Yu Jin (SI BP MA BSCE R&amp;D MDI):</t>
        </r>
        <r>
          <rPr>
            <sz val="9"/>
            <color indexed="81"/>
            <rFont val="Tahoma"/>
            <family val="2"/>
          </rPr>
          <t xml:space="preserve">
These parameter are not correct, need to update!!!</t>
        </r>
      </text>
    </comment>
    <comment ref="C101" authorId="0" shapeId="0" xr:uid="{C9274D7D-BEC0-48FD-A4E2-148D2480F74F}">
      <text>
        <r>
          <rPr>
            <b/>
            <sz val="9"/>
            <color indexed="81"/>
            <rFont val="Tahoma"/>
            <family val="2"/>
          </rPr>
          <t>Yang, Yu Jin (SI BP MA BSCE R&amp;D MDI):</t>
        </r>
        <r>
          <rPr>
            <sz val="9"/>
            <color indexed="81"/>
            <rFont val="Tahoma"/>
            <family val="2"/>
          </rPr>
          <t xml:space="preserve">
check this value
C101、D101
</t>
        </r>
      </text>
    </comment>
    <comment ref="C114" authorId="1" shapeId="0" xr:uid="{B185E29F-081B-4253-A092-DC2ECD7B4187}">
      <text>
        <r>
          <rPr>
            <b/>
            <sz val="8"/>
            <color indexed="81"/>
            <rFont val="Tahoma"/>
            <family val="2"/>
          </rPr>
          <t xml:space="preserve">Martin Luethi:
</t>
        </r>
        <r>
          <rPr>
            <sz val="8"/>
            <color indexed="81"/>
            <rFont val="Tahoma"/>
            <family val="2"/>
          </rPr>
          <t>Measurement from 14.11.08 without background light</t>
        </r>
      </text>
    </comment>
    <comment ref="D114" authorId="1" shapeId="0" xr:uid="{18C8FDED-2D02-484E-90FD-FED6B7694716}">
      <text>
        <r>
          <rPr>
            <b/>
            <sz val="8"/>
            <color indexed="81"/>
            <rFont val="Tahoma"/>
            <family val="2"/>
          </rPr>
          <t>Martin Luethi:</t>
        </r>
        <r>
          <rPr>
            <sz val="8"/>
            <color indexed="81"/>
            <rFont val="Tahoma"/>
            <family val="2"/>
          </rPr>
          <t xml:space="preserve">
Measurement from 14.11.08</t>
        </r>
      </text>
    </comment>
    <comment ref="C122" authorId="2" shapeId="0" xr:uid="{461B0927-3404-4B94-B238-0991523A5164}">
      <text>
        <r>
          <rPr>
            <b/>
            <sz val="8"/>
            <color indexed="81"/>
            <rFont val="Tahoma"/>
            <family val="2"/>
          </rPr>
          <t xml:space="preserve">Martin Luethi:
</t>
        </r>
        <r>
          <rPr>
            <sz val="8"/>
            <color indexed="81"/>
            <rFont val="Tahoma"/>
            <family val="2"/>
          </rPr>
          <t>Quiet, no LED active</t>
        </r>
      </text>
    </comment>
    <comment ref="D122" authorId="2" shapeId="0" xr:uid="{BCCF3D6D-86E5-4275-B7D9-CB4EB249CCCE}">
      <text>
        <r>
          <rPr>
            <b/>
            <sz val="8"/>
            <color indexed="81"/>
            <rFont val="Tahoma"/>
            <family val="2"/>
          </rPr>
          <t>Martin Luethi:</t>
        </r>
        <r>
          <rPr>
            <sz val="8"/>
            <color indexed="81"/>
            <rFont val="Tahoma"/>
            <family val="2"/>
          </rPr>
          <t xml:space="preserve">
all LED active, with only red or yellow LED ca. 40mA</t>
        </r>
      </text>
    </comment>
    <comment ref="C123" authorId="2" shapeId="0" xr:uid="{DA13B281-96EF-4D97-B8F6-6500E2FD67B4}">
      <text>
        <r>
          <rPr>
            <b/>
            <sz val="8"/>
            <color indexed="81"/>
            <rFont val="Tahoma"/>
            <family val="2"/>
          </rPr>
          <t>Martin Luethi:</t>
        </r>
        <r>
          <rPr>
            <sz val="8"/>
            <color indexed="81"/>
            <rFont val="Tahoma"/>
            <family val="2"/>
          </rPr>
          <t xml:space="preserve">
no LED active, only key supervision active</t>
        </r>
      </text>
    </comment>
    <comment ref="D123" authorId="2" shapeId="0" xr:uid="{43DB2EF2-EB74-4896-A814-58BBB83B153F}">
      <text>
        <r>
          <rPr>
            <b/>
            <sz val="8"/>
            <color indexed="81"/>
            <rFont val="Tahoma"/>
            <family val="2"/>
          </rPr>
          <t>Martin Luethi:</t>
        </r>
        <r>
          <rPr>
            <sz val="8"/>
            <color indexed="81"/>
            <rFont val="Tahoma"/>
            <family val="2"/>
          </rPr>
          <t xml:space="preserve">
all 3 LED and key supervision active</t>
        </r>
      </text>
    </comment>
    <comment ref="C124" authorId="2" shapeId="0" xr:uid="{7F9DCFE6-EF67-44C8-92B5-9CB3C1CEDC95}">
      <text>
        <r>
          <rPr>
            <b/>
            <sz val="8"/>
            <color indexed="81"/>
            <rFont val="Tahoma"/>
            <family val="2"/>
          </rPr>
          <t>Martin Luethi:</t>
        </r>
        <r>
          <rPr>
            <sz val="8"/>
            <color indexed="81"/>
            <rFont val="Tahoma"/>
            <family val="2"/>
          </rPr>
          <t xml:space="preserve">
only power LED active</t>
        </r>
      </text>
    </comment>
    <comment ref="D124" authorId="2" shapeId="0" xr:uid="{0DDDD4F0-1510-4D86-8E10-2CC76F160B24}">
      <text>
        <r>
          <rPr>
            <b/>
            <sz val="8"/>
            <color indexed="81"/>
            <rFont val="Tahoma"/>
            <family val="2"/>
          </rPr>
          <t>Martin Luethi:</t>
        </r>
        <r>
          <rPr>
            <sz val="8"/>
            <color indexed="81"/>
            <rFont val="Tahoma"/>
            <family val="2"/>
          </rPr>
          <t xml:space="preserve">
all LED active, no sounder, no key supervision active</t>
        </r>
      </text>
    </comment>
    <comment ref="C126" authorId="3" shapeId="0" xr:uid="{25E8F5F8-2F78-4D15-B1E9-789D737DF32B}">
      <text>
        <r>
          <rPr>
            <b/>
            <sz val="8"/>
            <color indexed="81"/>
            <rFont val="Tahoma"/>
            <family val="2"/>
          </rPr>
          <t>Martin Luethi:</t>
        </r>
        <r>
          <rPr>
            <sz val="8"/>
            <color indexed="81"/>
            <rFont val="Tahoma"/>
            <family val="2"/>
          </rPr>
          <t xml:space="preserve">
Measurement from 12.12.07</t>
        </r>
      </text>
    </comment>
    <comment ref="C130" authorId="3" shapeId="0" xr:uid="{FB8C6B61-6E8D-4D78-BD28-774173F237EB}">
      <text>
        <r>
          <rPr>
            <b/>
            <sz val="8"/>
            <color indexed="81"/>
            <rFont val="Tahoma"/>
            <family val="2"/>
          </rPr>
          <t>Andreas Truempy:</t>
        </r>
        <r>
          <rPr>
            <sz val="8"/>
            <color indexed="81"/>
            <rFont val="Tahoma"/>
            <family val="2"/>
          </rPr>
          <t xml:space="preserve">
measurement value, 2x FDnet UART in quiet modus (40mA)</t>
        </r>
      </text>
    </comment>
    <comment ref="C170" authorId="3" shapeId="0" xr:uid="{1BD2A811-6FD9-4997-B6B8-690102CE3B55}">
      <text>
        <r>
          <rPr>
            <b/>
            <sz val="8"/>
            <color indexed="81"/>
            <rFont val="Tahoma"/>
            <family val="2"/>
          </rPr>
          <t>Andreas Truempy, nach Bernhard Loosli</t>
        </r>
        <r>
          <rPr>
            <sz val="8"/>
            <color indexed="81"/>
            <rFont val="Tahoma"/>
            <family val="2"/>
          </rPr>
          <t xml:space="preserve">
Multiplied by factor 1.25 if discharge takes place over a period of ≤ 24h (according to DIN VDE 0933, part 2). Additionally multiplied by factor 1.1 if discharge takes place over a period of ≤ 12h</t>
        </r>
        <r>
          <rPr>
            <sz val="10"/>
            <color indexed="81"/>
            <rFont val="Tahoma"/>
            <family val="2"/>
          </rPr>
          <t>.</t>
        </r>
      </text>
    </comment>
    <comment ref="C179" authorId="3" shapeId="0" xr:uid="{D15A8B3D-806B-4090-825E-7358C3FB3F5E}">
      <text>
        <r>
          <rPr>
            <b/>
            <sz val="8"/>
            <color indexed="81"/>
            <rFont val="Tahoma"/>
            <family val="2"/>
          </rPr>
          <t>Andreas Truempy:</t>
        </r>
        <r>
          <rPr>
            <sz val="8"/>
            <color indexed="81"/>
            <rFont val="Tahoma"/>
            <family val="2"/>
          </rPr>
          <t xml:space="preserve">
Load with C/10, if battery type is known...</t>
        </r>
      </text>
    </comment>
    <comment ref="C180" authorId="3" shapeId="0" xr:uid="{D82A756E-971B-4504-8C27-6A2953352AFE}">
      <text>
        <r>
          <rPr>
            <b/>
            <sz val="8"/>
            <color indexed="81"/>
            <rFont val="Tahoma"/>
            <family val="2"/>
          </rPr>
          <t>Andreas Truempy:</t>
        </r>
        <r>
          <rPr>
            <sz val="8"/>
            <color indexed="81"/>
            <rFont val="Tahoma"/>
            <family val="2"/>
          </rPr>
          <t xml:space="preserve">
1.1 * alarm current or 1.1 * quiet current + Battery load current</t>
        </r>
      </text>
    </comment>
    <comment ref="C181" authorId="3" shapeId="0" xr:uid="{9CB38166-EF43-485D-A41A-3C7CACFE35A1}">
      <text>
        <r>
          <rPr>
            <b/>
            <sz val="8"/>
            <color indexed="81"/>
            <rFont val="Tahoma"/>
            <family val="2"/>
          </rPr>
          <t>Andreas Truempy:</t>
        </r>
        <r>
          <rPr>
            <sz val="8"/>
            <color indexed="81"/>
            <rFont val="Tahoma"/>
            <family val="2"/>
          </rPr>
          <t xml:space="preserve">
=Max. current * 24V</t>
        </r>
      </text>
    </comment>
    <comment ref="C192" authorId="3" shapeId="0" xr:uid="{71C264EF-BB84-4EF2-85E4-922B95DAE6C1}">
      <text>
        <r>
          <rPr>
            <b/>
            <sz val="8"/>
            <color indexed="81"/>
            <rFont val="Tahoma"/>
            <family val="2"/>
          </rPr>
          <t>Andreas Truempy, nach Bernhard Loosli</t>
        </r>
        <r>
          <rPr>
            <sz val="8"/>
            <color indexed="81"/>
            <rFont val="Tahoma"/>
            <family val="2"/>
          </rPr>
          <t xml:space="preserve">
Multiplied by factor 1.25 if discharge takes place over a period of ≤ 24h (according to DIN VDE 0933, part 2). Additionally multiplied by factor 1.1 if discharge takes place over a period of ≤ 12h.</t>
        </r>
      </text>
    </comment>
    <comment ref="C198" authorId="3" shapeId="0" xr:uid="{05DBBCB8-F4C9-451C-8F41-AFD2147DE113}">
      <text>
        <r>
          <rPr>
            <b/>
            <sz val="8"/>
            <color indexed="81"/>
            <rFont val="Tahoma"/>
            <family val="2"/>
          </rPr>
          <t>Andreas Truempy:</t>
        </r>
        <r>
          <rPr>
            <sz val="8"/>
            <color indexed="81"/>
            <rFont val="Tahoma"/>
            <family val="2"/>
          </rPr>
          <t xml:space="preserve">
Load with C/10, if battery type is known...</t>
        </r>
      </text>
    </comment>
    <comment ref="C199" authorId="3" shapeId="0" xr:uid="{A093D1D2-BAC7-4A95-93CF-010B57DE1B2E}">
      <text>
        <r>
          <rPr>
            <b/>
            <sz val="8"/>
            <color indexed="81"/>
            <rFont val="Tahoma"/>
            <family val="2"/>
          </rPr>
          <t xml:space="preserve">Andreas Truempy:
</t>
        </r>
        <r>
          <rPr>
            <sz val="8"/>
            <color indexed="81"/>
            <rFont val="Tahoma"/>
            <family val="2"/>
          </rPr>
          <t>From Waldmeier: either 1.1 * alarm-current or 1.1 * quiet current + battery load current</t>
        </r>
      </text>
    </comment>
    <comment ref="C200" authorId="3" shapeId="0" xr:uid="{2C97FF93-4AF3-487C-A26D-A399D24604C9}">
      <text>
        <r>
          <rPr>
            <b/>
            <sz val="8"/>
            <color indexed="81"/>
            <rFont val="Tahoma"/>
            <family val="2"/>
          </rPr>
          <t>Andreas Truempy:</t>
        </r>
        <r>
          <rPr>
            <sz val="8"/>
            <color indexed="81"/>
            <rFont val="Tahoma"/>
            <family val="2"/>
          </rPr>
          <t xml:space="preserve">
=Max. current * 24V</t>
        </r>
      </text>
    </comment>
    <comment ref="C206" authorId="3" shapeId="0" xr:uid="{AF684227-CABD-4F5A-A4F4-35A04AAC4B44}">
      <text>
        <r>
          <rPr>
            <b/>
            <sz val="8"/>
            <color indexed="81"/>
            <rFont val="Tahoma"/>
            <family val="2"/>
          </rPr>
          <t>Andreas Truempy, nach Bernhard Loosli</t>
        </r>
        <r>
          <rPr>
            <sz val="8"/>
            <color indexed="81"/>
            <rFont val="Tahoma"/>
            <family val="2"/>
          </rPr>
          <t xml:space="preserve">
Multiplied by factor 1.25 if discharge takes place over a period of ≤ 24h (according to DIN VDE 0933, part 2). Additionally multiplied by factor 1.1 if discharge takes place over a period of ≤ 12h.</t>
        </r>
      </text>
    </comment>
    <comment ref="C212" authorId="3" shapeId="0" xr:uid="{34DDBC5A-0244-4496-B180-B81F78D71848}">
      <text>
        <r>
          <rPr>
            <b/>
            <sz val="8"/>
            <color indexed="81"/>
            <rFont val="Tahoma"/>
            <family val="2"/>
          </rPr>
          <t>Andreas Truempy:</t>
        </r>
        <r>
          <rPr>
            <sz val="8"/>
            <color indexed="81"/>
            <rFont val="Tahoma"/>
            <family val="2"/>
          </rPr>
          <t xml:space="preserve">
Load with C/10, if battery type is known...</t>
        </r>
      </text>
    </comment>
    <comment ref="C213" authorId="3" shapeId="0" xr:uid="{5B0470AD-02BB-49A8-8C43-C2ECF4D0F93C}">
      <text>
        <r>
          <rPr>
            <b/>
            <sz val="8"/>
            <color indexed="81"/>
            <rFont val="Tahoma"/>
            <family val="2"/>
          </rPr>
          <t xml:space="preserve">Andreas Truempy:
</t>
        </r>
        <r>
          <rPr>
            <sz val="8"/>
            <color indexed="81"/>
            <rFont val="Tahoma"/>
            <family val="2"/>
          </rPr>
          <t>From Waldmeier: either 1.1 * alarm-current or 1.1 * quiet current + battery load current</t>
        </r>
      </text>
    </comment>
    <comment ref="C214" authorId="3" shapeId="0" xr:uid="{DB372D28-A937-47E7-81D0-4BC4AE6BEE98}">
      <text>
        <r>
          <rPr>
            <b/>
            <sz val="8"/>
            <color indexed="81"/>
            <rFont val="Tahoma"/>
            <family val="2"/>
          </rPr>
          <t>Andreas Truempy:</t>
        </r>
        <r>
          <rPr>
            <sz val="8"/>
            <color indexed="81"/>
            <rFont val="Tahoma"/>
            <family val="2"/>
          </rPr>
          <t xml:space="preserve">
=Max. current * 24V</t>
        </r>
      </text>
    </comment>
    <comment ref="C220" authorId="3" shapeId="0" xr:uid="{A14DE699-7149-4824-B3AD-FA1139DC0D54}">
      <text>
        <r>
          <rPr>
            <b/>
            <sz val="8"/>
            <color indexed="81"/>
            <rFont val="Tahoma"/>
            <family val="2"/>
          </rPr>
          <t>Andreas Truempy:</t>
        </r>
        <r>
          <rPr>
            <sz val="8"/>
            <color indexed="81"/>
            <rFont val="Tahoma"/>
            <family val="2"/>
          </rPr>
          <t xml:space="preserve">
contains Kdis + Kage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<sst xmlns="http://schemas.openxmlformats.org/spreadsheetml/2006/main" count="4279" uniqueCount="981">
  <si>
    <t>General information:</t>
  </si>
  <si>
    <t>Procedure:</t>
  </si>
  <si>
    <t>Purpose:</t>
  </si>
  <si>
    <t>Please consider:</t>
  </si>
  <si>
    <t>International</t>
  </si>
  <si>
    <t>--</t>
  </si>
  <si>
    <t>Types</t>
  </si>
  <si>
    <t>Variants</t>
  </si>
  <si>
    <t>comfort</t>
  </si>
  <si>
    <t>eco</t>
  </si>
  <si>
    <t>48 zone LED indicator</t>
  </si>
  <si>
    <t>Panel Types</t>
  </si>
  <si>
    <t>Panel Order Numbers</t>
  </si>
  <si>
    <t>Panel Descriptions</t>
  </si>
  <si>
    <t>Panel Supply Equipm.</t>
  </si>
  <si>
    <t>Panels Housings</t>
  </si>
  <si>
    <t>Panel LED Equipment</t>
  </si>
  <si>
    <t>FCI2004-A1</t>
  </si>
  <si>
    <t>FTI2001-A1</t>
  </si>
  <si>
    <t>Max. fitting battery</t>
  </si>
  <si>
    <t>Max. fitting supply</t>
  </si>
  <si>
    <t>--&gt; The program gives you a hint, whether…</t>
  </si>
  <si>
    <t># of entries</t>
  </si>
  <si>
    <t>NL, with EVAC (10-zone)</t>
  </si>
  <si>
    <t>Panel FBA Equipment</t>
  </si>
  <si>
    <t>Panel EVAC Equipment</t>
  </si>
  <si>
    <t>FC724-ZA</t>
  </si>
  <si>
    <t>FC724-ZE</t>
  </si>
  <si>
    <t>FC724-HA</t>
  </si>
  <si>
    <t>FT724-ZZ</t>
  </si>
  <si>
    <t>FT724-HZ</t>
  </si>
  <si>
    <t>Current Version:</t>
  </si>
  <si>
    <t>- changelog:</t>
  </si>
  <si>
    <t>History</t>
  </si>
  <si>
    <t>A6V10211118_a_en_--_FX7210-QuantitiesTool.xls  (14. November 2008)</t>
  </si>
  <si>
    <t xml:space="preserve">    - New compilation from 009716_e_en_--_FX2010-SintesoQuantitiesTool.xls</t>
  </si>
  <si>
    <t>Panel selection</t>
  </si>
  <si>
    <t>Help values</t>
  </si>
  <si>
    <t>Selection Panel Type</t>
  </si>
  <si>
    <t>(Panel-type, # of row in tables on sheet "Panel_values")</t>
  </si>
  <si>
    <t>Selection Panel Variant</t>
  </si>
  <si>
    <t>ActualStationType</t>
  </si>
  <si>
    <t>Mask PeriBoard4</t>
  </si>
  <si>
    <t>(Feauters on Peri2)</t>
  </si>
  <si>
    <t>Mask PeriBoard2+4</t>
  </si>
  <si>
    <t>(Feauters on Peri2 and Peri4)</t>
  </si>
  <si>
    <t>(Panel-variant, # of coloum in tables on sheet "Panel_values")</t>
  </si>
  <si>
    <t>Panel characteristics:</t>
  </si>
  <si>
    <t>Panel type:</t>
  </si>
  <si>
    <t>Housing type:</t>
  </si>
  <si>
    <t>Supply type:</t>
  </si>
  <si>
    <t>W</t>
  </si>
  <si>
    <t>Max. fitting batteries:</t>
  </si>
  <si>
    <t>Ah</t>
  </si>
  <si>
    <t>Max. fitting power supply:</t>
  </si>
  <si>
    <t>Field devices</t>
  </si>
  <si>
    <t>Current consumption (at panel by 24V)</t>
  </si>
  <si>
    <t>A</t>
  </si>
  <si>
    <t>Sounder Lines</t>
  </si>
  <si>
    <t>Sounder line 1 (SOUND1)</t>
  </si>
  <si>
    <t>Sounder line 2 (SOUND2)</t>
  </si>
  <si>
    <t>Alarm &amp; Fault Outputs</t>
  </si>
  <si>
    <t>Load on "Configurable I/Os" (I/Ox)</t>
  </si>
  <si>
    <t>External supply output 2 (VSYS_02)</t>
  </si>
  <si>
    <t>Input Checks Sounder Line 1</t>
  </si>
  <si>
    <t>Input Checks Sounder Line 2</t>
  </si>
  <si>
    <t>Input Checks Alarm &amp; Fault Outputs</t>
  </si>
  <si>
    <t>Input Checks Ext. Supply Output 1</t>
  </si>
  <si>
    <t>Input Checks Ext. Supply Output 2</t>
  </si>
  <si>
    <t>Options</t>
  </si>
  <si>
    <t>Networking</t>
  </si>
  <si>
    <t>Quantity</t>
  </si>
  <si>
    <t>alarm power</t>
  </si>
  <si>
    <t>pcs</t>
  </si>
  <si>
    <t>Repeater (SAFEDLINK)</t>
  </si>
  <si>
    <t>Communication</t>
  </si>
  <si>
    <t>Ethernet connection</t>
  </si>
  <si>
    <t>FCA2001-A1</t>
  </si>
  <si>
    <t>RS485 module (isolated)</t>
  </si>
  <si>
    <t xml:space="preserve">FCA2002-A1 </t>
  </si>
  <si>
    <t>Printer</t>
  </si>
  <si>
    <t>Event printer</t>
  </si>
  <si>
    <t>If used: current= 50…100mA, depending on printing frequency.</t>
  </si>
  <si>
    <t>1 RS232 Modul required additionaly</t>
  </si>
  <si>
    <t>Fire department periphery module</t>
  </si>
  <si>
    <t>FBF</t>
  </si>
  <si>
    <t>FSD</t>
  </si>
  <si>
    <t>Kennleuchte</t>
  </si>
  <si>
    <t>FSE</t>
  </si>
  <si>
    <t>FAT</t>
  </si>
  <si>
    <t>PMI-Options</t>
  </si>
  <si>
    <t>FTO2002-A1</t>
  </si>
  <si>
    <t>One RS485 Modul required additionaly</t>
  </si>
  <si>
    <t xml:space="preserve"> FT2003-N1</t>
  </si>
  <si>
    <t>Input Checks SAFEDLINK</t>
  </si>
  <si>
    <t>Input Checks Ethernet</t>
  </si>
  <si>
    <t>Input Checks RS Modules</t>
  </si>
  <si>
    <t>Input Checks Printer</t>
  </si>
  <si>
    <t xml:space="preserve">Min. I: </t>
  </si>
  <si>
    <t xml:space="preserve">Max. I: </t>
  </si>
  <si>
    <t>Input Checks VDS Module</t>
  </si>
  <si>
    <t>Input Checks LED indicators</t>
  </si>
  <si>
    <t xml:space="preserve">Max. I2C: </t>
  </si>
  <si>
    <t xml:space="preserve">Act. I2C: </t>
  </si>
  <si>
    <t>Input Checks EVAC 20-zone add-on</t>
  </si>
  <si>
    <t>Panel</t>
  </si>
  <si>
    <t>Own consumption</t>
  </si>
  <si>
    <t>Panel type</t>
  </si>
  <si>
    <t>Battery required standby-time</t>
  </si>
  <si>
    <t>Required standby-time</t>
  </si>
  <si>
    <t>h</t>
  </si>
  <si>
    <t>Required alarm-time (after standby)</t>
  </si>
  <si>
    <t>Power calculation supply1</t>
  </si>
  <si>
    <t>Card cage</t>
  </si>
  <si>
    <t>Input / Outputs</t>
  </si>
  <si>
    <t>Total</t>
  </si>
  <si>
    <t>Battery calculation</t>
  </si>
  <si>
    <t>Required batteries</t>
  </si>
  <si>
    <t>Available batteries</t>
  </si>
  <si>
    <t>Supply calculation</t>
  </si>
  <si>
    <t>Maximal current of power supply (incl. battery current for available type)</t>
  </si>
  <si>
    <t>Required supply</t>
  </si>
  <si>
    <t>Integrated supply</t>
  </si>
  <si>
    <t>Available supply</t>
  </si>
  <si>
    <t>Battery check (required batt &lt; available batt)</t>
  </si>
  <si>
    <t xml:space="preserve">1=ok, </t>
  </si>
  <si>
    <t>0-&gt; bigger batt</t>
  </si>
  <si>
    <t>Batt. C. Code:</t>
  </si>
  <si>
    <t>Battery check (required batt fitting in housing)</t>
  </si>
  <si>
    <t>0-&gt; bigger hous.</t>
  </si>
  <si>
    <t>Supply check (required supp &lt; integrated supp)</t>
  </si>
  <si>
    <t>0-&gt; add. Suppl.</t>
  </si>
  <si>
    <t>Supply check (required supp &lt; available supp)</t>
  </si>
  <si>
    <t>0-&gt; bigger supp</t>
  </si>
  <si>
    <t>Supp. C. Code:</t>
  </si>
  <si>
    <t>Supply check (required supp fitting in housing)</t>
  </si>
  <si>
    <t>Abbreviations</t>
  </si>
  <si>
    <t>open, value tbd by R&amp;D</t>
  </si>
  <si>
    <t>changeable field</t>
  </si>
  <si>
    <t>Data from input-output sheet</t>
  </si>
  <si>
    <t>calculation</t>
  </si>
  <si>
    <t>Measurement from R&amp;D</t>
  </si>
  <si>
    <t>General characteristic values</t>
  </si>
  <si>
    <t>Max. Current per Sounder Line</t>
  </si>
  <si>
    <t>(@ 24V)</t>
  </si>
  <si>
    <t>Max. Current per Open Collector</t>
  </si>
  <si>
    <t>Max. RSxxx Modules</t>
  </si>
  <si>
    <t>pcs.</t>
  </si>
  <si>
    <t>Max. I2C participants</t>
  </si>
  <si>
    <t>Max. degrade mode participants</t>
  </si>
  <si>
    <t>Calculation of current consumption</t>
  </si>
  <si>
    <t>Load on local voltage, per unit</t>
  </si>
  <si>
    <t>Load on system voltage, total</t>
  </si>
  <si>
    <t>I norm [A]</t>
  </si>
  <si>
    <t>I alarm [A]</t>
  </si>
  <si>
    <t>U [V]</t>
  </si>
  <si>
    <t>n [%]</t>
  </si>
  <si>
    <t>P norm [W]</t>
  </si>
  <si>
    <t>P alarm [W]</t>
  </si>
  <si>
    <t>Quant. [pcs]</t>
  </si>
  <si>
    <t>Current consumption LC1</t>
  </si>
  <si>
    <t>Current consumption LC2</t>
  </si>
  <si>
    <t>Power consumption (Ex. Loop)</t>
  </si>
  <si>
    <t>Power consumption card cages 2 (push button "Caculate" for actual value)</t>
  </si>
  <si>
    <t>Power consumption supply1 card cages 5  (push button "Caculate" for actual value)</t>
  </si>
  <si>
    <t>Power consumption</t>
  </si>
  <si>
    <t>Periphery board - Input / Output</t>
  </si>
  <si>
    <t>Output Alarm supervised (AL_OUT)</t>
  </si>
  <si>
    <t>Output Fault supervised (FAU_OUT)</t>
  </si>
  <si>
    <t>Current on configurable I/O (I/Ox)</t>
  </si>
  <si>
    <t>Load for FCA2005</t>
  </si>
  <si>
    <t>Load for FDCIO223</t>
  </si>
  <si>
    <t>Load for FT2040</t>
  </si>
  <si>
    <t>External VSYS supply output 2</t>
  </si>
  <si>
    <t>Power consumption (Ex. Periboard)</t>
  </si>
  <si>
    <t>1. Vernetzungsmodul (SAFEDLINK)</t>
  </si>
  <si>
    <t xml:space="preserve">FN2001-A1 </t>
  </si>
  <si>
    <t>2. Vernetzungsmodul (SAFEDLINK)</t>
  </si>
  <si>
    <t xml:space="preserve">FN2002 </t>
  </si>
  <si>
    <t>LWL-Konvertermodul</t>
  </si>
  <si>
    <t>Fire department periphery mod.</t>
  </si>
  <si>
    <t>Feuerwehrperipherie-Modul</t>
  </si>
  <si>
    <t xml:space="preserve">FCI2001-D1 </t>
  </si>
  <si>
    <t>Power consumption (Ex. Options)</t>
  </si>
  <si>
    <t>Periphery board type</t>
  </si>
  <si>
    <t>Card cage type</t>
  </si>
  <si>
    <t>PMI- &amp; Mainboard (inkl. CPU)</t>
  </si>
  <si>
    <t>Complete PMI &amp; Mainboard</t>
  </si>
  <si>
    <t>FCM2004</t>
  </si>
  <si>
    <t>LED indicator (internal)</t>
  </si>
  <si>
    <t>FBA-CH operating unit</t>
  </si>
  <si>
    <t>FTO2004-C1</t>
  </si>
  <si>
    <t>EVAC-NL operating unit</t>
  </si>
  <si>
    <t>FTO2007-N1</t>
  </si>
  <si>
    <t>Peripheral board (2-loop)</t>
  </si>
  <si>
    <t>Complete Peripheral Board  2-L</t>
  </si>
  <si>
    <t>Peripheral board (4-loop)</t>
  </si>
  <si>
    <t>Complete Peripheral Board 4-L</t>
  </si>
  <si>
    <t>FCI2004</t>
  </si>
  <si>
    <t>Peripheral Board T</t>
  </si>
  <si>
    <t>Complete Peripheral Board T</t>
  </si>
  <si>
    <t>FTI2001</t>
  </si>
  <si>
    <t>Power consumption (own)</t>
  </si>
  <si>
    <t>I2C check</t>
  </si>
  <si>
    <t>PMI</t>
  </si>
  <si>
    <t>Perib</t>
  </si>
  <si>
    <t>PMI-Opt</t>
  </si>
  <si>
    <t>Number of I2C participants</t>
  </si>
  <si>
    <t>Supply 1: Power calculation</t>
  </si>
  <si>
    <t>Power calculation</t>
  </si>
  <si>
    <t>Battery standby-time</t>
  </si>
  <si>
    <t>Supply &amp; Battery check for Supply1</t>
  </si>
  <si>
    <t>Nominal required battery</t>
  </si>
  <si>
    <t>Security factor</t>
  </si>
  <si>
    <t>Required battery</t>
  </si>
  <si>
    <t>Available battery</t>
  </si>
  <si>
    <t>Max. fitting batteries</t>
  </si>
  <si>
    <t>Battery check code</t>
  </si>
  <si>
    <t>Battery load current for available type</t>
  </si>
  <si>
    <t>Max. current for power supply</t>
  </si>
  <si>
    <t>Required power supply</t>
  </si>
  <si>
    <t>Delivered power supply</t>
  </si>
  <si>
    <t>Available power supply</t>
  </si>
  <si>
    <t>Supply check code</t>
  </si>
  <si>
    <t>Table for supplys and battery checks</t>
  </si>
  <si>
    <t>Security factor table</t>
  </si>
  <si>
    <t>Table of available batteries</t>
  </si>
  <si>
    <t>Table of failure messages</t>
  </si>
  <si>
    <t>t [h]</t>
  </si>
  <si>
    <t>f [1]</t>
  </si>
  <si>
    <t>[Ah]</t>
  </si>
  <si>
    <t>[Type]</t>
  </si>
  <si>
    <t>Mat. Nr.</t>
  </si>
  <si>
    <t>Use bigger battery &amp; additional housing</t>
  </si>
  <si>
    <t/>
  </si>
  <si>
    <t>Use bigger battery</t>
  </si>
  <si>
    <t>FA2003-A1</t>
  </si>
  <si>
    <t>A5Q00019353</t>
  </si>
  <si>
    <t>Use additional housing</t>
  </si>
  <si>
    <t>FA2004-A1</t>
  </si>
  <si>
    <t>A5Q00019354</t>
  </si>
  <si>
    <t>O.K.</t>
  </si>
  <si>
    <t>Power supply table</t>
  </si>
  <si>
    <t>I, [A]</t>
  </si>
  <si>
    <t>[W]</t>
  </si>
  <si>
    <t>Use additional supply &amp; additional housing</t>
  </si>
  <si>
    <t>Use additional supply</t>
  </si>
  <si>
    <t>FP2001-A1</t>
  </si>
  <si>
    <t>see docu</t>
  </si>
  <si>
    <t>SV 24V-150W</t>
  </si>
  <si>
    <t>2x SV 24V-150W</t>
  </si>
  <si>
    <t>3x SV 24V-150W</t>
  </si>
  <si>
    <t>With the project planning of the detector line the load of the line card is verified. This results in the definite:</t>
  </si>
  <si>
    <t>- number and type of devices per detector line</t>
  </si>
  <si>
    <t>Input number of devices</t>
  </si>
  <si>
    <t>Point detectors</t>
  </si>
  <si>
    <t>Stk.</t>
  </si>
  <si>
    <t>Special detectors</t>
  </si>
  <si>
    <t>Manual call points</t>
  </si>
  <si>
    <t>FDM22x - Manual call points</t>
  </si>
  <si>
    <t>Line modules</t>
  </si>
  <si>
    <t>FDCI221 - Input module (1I)</t>
  </si>
  <si>
    <t>FDCI222 - Input module (4I)</t>
  </si>
  <si>
    <t>FDCIO221 - In/Output module (1I&amp;1O)</t>
  </si>
  <si>
    <t>FDCIO222 - In/Output module (4I&amp;4O)</t>
  </si>
  <si>
    <t>Operation and indication devices</t>
  </si>
  <si>
    <t>Input cable characteristics</t>
  </si>
  <si>
    <t>Cable characteristics</t>
  </si>
  <si>
    <t>m</t>
  </si>
  <si>
    <t>Resistance value R' of cable</t>
  </si>
  <si>
    <t>Ohm/km</t>
  </si>
  <si>
    <t>Capacitance value Cs' of cable</t>
  </si>
  <si>
    <t>nF/km</t>
  </si>
  <si>
    <t>Analysis of configuration</t>
  </si>
  <si>
    <t>Ohm</t>
  </si>
  <si>
    <t>nF</t>
  </si>
  <si>
    <t>FDnetRK</t>
  </si>
  <si>
    <t>FDnetMK</t>
  </si>
  <si>
    <t>FDnetTK</t>
  </si>
  <si>
    <t>FDnetAK</t>
  </si>
  <si>
    <t>Device</t>
  </si>
  <si>
    <t>(restriction trough startup time)</t>
  </si>
  <si>
    <t>Max. cablelength resistor</t>
  </si>
  <si>
    <t>maxLengthR</t>
  </si>
  <si>
    <t>240 Ohm = 72 Ohm/km * 3300m (MP1.1 only 2500m)</t>
  </si>
  <si>
    <t>Max. cablelength capacity</t>
  </si>
  <si>
    <t>maxLengthC</t>
  </si>
  <si>
    <t>(no restriction, value could be higher)</t>
  </si>
  <si>
    <t>Max. Adressindex per Module</t>
  </si>
  <si>
    <t>MaxAKModule</t>
  </si>
  <si>
    <t>Max. current per Module</t>
  </si>
  <si>
    <t>Imax</t>
  </si>
  <si>
    <t>(distribution free between Loop and Stub)</t>
  </si>
  <si>
    <t>ImaxStation</t>
  </si>
  <si>
    <t>(@ 24V, inkl. Wirkungsgrad DC/DC)</t>
  </si>
  <si>
    <t>Max. leakcurrent per Loop/Stub</t>
  </si>
  <si>
    <t>Ileak</t>
  </si>
  <si>
    <t>Max. leakcurrent per Module</t>
  </si>
  <si>
    <t>IleakModule</t>
  </si>
  <si>
    <t>Min. line voltage</t>
  </si>
  <si>
    <t>Vline_min</t>
  </si>
  <si>
    <t>V</t>
  </si>
  <si>
    <t>Detector Current</t>
  </si>
  <si>
    <t>Idet</t>
  </si>
  <si>
    <t>Duty Cycle</t>
  </si>
  <si>
    <t>DC</t>
  </si>
  <si>
    <t>Max. answer current resistor</t>
  </si>
  <si>
    <t>Rans</t>
  </si>
  <si>
    <t>250 Ohm = (5.5V / 15mA) - 120 Ohm / resistor with Detectors FET</t>
  </si>
  <si>
    <t>Max. cable resistor</t>
  </si>
  <si>
    <t>Rcbl</t>
  </si>
  <si>
    <t>240 Ohm = 72 Ohm/km * 3300m (MP1.1 only 180 Ohm)</t>
  </si>
  <si>
    <t>Max. FET resistor</t>
  </si>
  <si>
    <t>Rdet</t>
  </si>
  <si>
    <t>Increase capacity from (Rc)</t>
  </si>
  <si>
    <t>IncCapRc</t>
  </si>
  <si>
    <t>Capacity &gt;Rc</t>
  </si>
  <si>
    <t>CmaxGreatRc</t>
  </si>
  <si>
    <t>Capacity &lt;Rc</t>
  </si>
  <si>
    <t>CmaxSmalRc</t>
  </si>
  <si>
    <t>Max. capacity per Module</t>
  </si>
  <si>
    <t>MaxC</t>
  </si>
  <si>
    <t>Equipment</t>
  </si>
  <si>
    <t>Periboards</t>
  </si>
  <si>
    <t>OP720 - Smoke detector</t>
  </si>
  <si>
    <t>HI722 - Heat detector</t>
  </si>
  <si>
    <t>HI720 - Heat detector</t>
  </si>
  <si>
    <t>OH720 - Multi Sensor detector</t>
  </si>
  <si>
    <t>- excel supported with visual basic script</t>
  </si>
  <si>
    <t>- dependent on the selected station, additonal sheets are generated</t>
  </si>
  <si>
    <t>- updated "FDnet_Ref" and "FDnet_Calc_Ref" sheets with INDIRECT links, reference for copy</t>
  </si>
  <si>
    <t>- new "FDnet Constants" sheet for FDnet constants definition</t>
  </si>
  <si>
    <t>- Updating "Fx20xx_Panel and "Panel_comp" sheets for generated sheets</t>
  </si>
  <si>
    <t>- impact through new generating of additional sheets</t>
  </si>
  <si>
    <t>FCI2010/02</t>
  </si>
  <si>
    <t>Remote EVAC 20-zone (FCM2008-N1, 2xFTI2002-N1)</t>
  </si>
  <si>
    <t>Mimic display driver EVAC 10-zone</t>
  </si>
  <si>
    <t>- CRs FSP00065588, FSP00065587, FSP00065589</t>
  </si>
  <si>
    <t>- Rename visible names from Fdnet to C-NET</t>
  </si>
  <si>
    <t>C-NET Module3</t>
  </si>
  <si>
    <t>Values from "C-NET_Module3"</t>
  </si>
  <si>
    <t>Detached-Options (supply from FS720 station)</t>
  </si>
  <si>
    <t>- CRs FSP00067214</t>
  </si>
  <si>
    <t>- Reference for C-Net devices: 704-006-004_FS_Peripheral_Panel_Compatibility / Rev. 32</t>
  </si>
  <si>
    <t>A6V10211118_c_en_--_FX7210-QuantitiesTool.xls  (24. April 2009)</t>
  </si>
  <si>
    <t>- rename FDCL221 and FDCL221-M on sheets Fdnet_Ref and Fdnet_Calc_Ref</t>
  </si>
  <si>
    <t>- remove FDBZ292 - Air Sampling  on sheets Fdnet_Ref and Fdnet_Calc_Ref</t>
  </si>
  <si>
    <t>A6V10211118_d_en_--_FX7210-QuantitiesTool.xls  (2. July 2009)</t>
  </si>
  <si>
    <t>- Delete Missing VISXDATA 1.0 in VBA References</t>
  </si>
  <si>
    <t>- change macros name from german to english (BeiKlick - ByClick, BeiAenderung - ByChange)</t>
  </si>
  <si>
    <t>A6V10211118_b_en_--_FX7210-QuantitiesTool.xls  (17. March 2009)</t>
  </si>
  <si>
    <t>OeA</t>
  </si>
  <si>
    <t xml:space="preserve">  Martin Luethi &lt;martin.luethi@siemens.com&gt;</t>
  </si>
  <si>
    <t>UeE</t>
  </si>
  <si>
    <t>A6V10211118_e_en_--_FX7210-QuantitiesTool.xls  (18. November 2009)</t>
  </si>
  <si>
    <t>- activate sheet command is necessary before a …select command</t>
  </si>
  <si>
    <t>- Changes for Office 2007 adaptation (some commands are not identical with office 2003)</t>
  </si>
  <si>
    <t>- rename sheets after copy sheets with index-reference (copied sheet is not active as in office 2003)</t>
  </si>
  <si>
    <t>- copy formula from FDnet_Calc_Ref to FDnet_Constants</t>
  </si>
  <si>
    <t>- Do not show working on screen with command "ScreenUpdating"</t>
  </si>
  <si>
    <t>A6V10211118_f_en_--_FX7210-QuantitiesTool.xls  (25. June 2010)</t>
  </si>
  <si>
    <t>- Changes for MP3.0</t>
  </si>
  <si>
    <t>FC726-ZA</t>
  </si>
  <si>
    <t>S54400-C87-A1</t>
  </si>
  <si>
    <t>large</t>
  </si>
  <si>
    <t>S54400-C30-A2</t>
  </si>
  <si>
    <t>S54400-C30-A3</t>
  </si>
  <si>
    <t>S54400-C30-A1</t>
  </si>
  <si>
    <t>S54400-C31-A2</t>
  </si>
  <si>
    <t>S54400-C31-A1</t>
  </si>
  <si>
    <t>Amount CardCage2</t>
  </si>
  <si>
    <t>Amount CardCage5</t>
  </si>
  <si>
    <t>Load for Scalance X204-2 / S612</t>
  </si>
  <si>
    <t>1st CPU CARD</t>
  </si>
  <si>
    <t>FCC2004</t>
  </si>
  <si>
    <t>2st CPU CARD</t>
  </si>
  <si>
    <t>Communication Card</t>
  </si>
  <si>
    <t>FCC2005</t>
  </si>
  <si>
    <t>Card cages with supply 1</t>
  </si>
  <si>
    <t>Supply 2: Power calculation</t>
  </si>
  <si>
    <t>Card cages with supply 2</t>
  </si>
  <si>
    <t>Supply 3: Power calculation</t>
  </si>
  <si>
    <t>Card cages with supply 3</t>
  </si>
  <si>
    <t>Supply &amp; Battery check for Supply2</t>
  </si>
  <si>
    <t>Supply &amp; Battery check for Supply3</t>
  </si>
  <si>
    <t>FCA2008-A1</t>
  </si>
  <si>
    <t>Card cage type:</t>
  </si>
  <si>
    <t>- add new external supply output1 and 2 row for Scalance X204-2 / S612</t>
  </si>
  <si>
    <t>Values from "C-NET_Module2"</t>
  </si>
  <si>
    <t>- reduce capacity from FA2009-A1 battery from 110Ah to 100Ah</t>
  </si>
  <si>
    <t>- add FC726-ZA with CardCage5 with Linecard FCL2001 (C-NET) and FCI2008 (I/O-programmable)</t>
  </si>
  <si>
    <t>- C-NET changes and correction:</t>
  </si>
  <si>
    <t>- add new C-NET device FDCAI221 (Adressable alarm indicator)</t>
  </si>
  <si>
    <t>- add new wirless C-NET device DOW1171, SMF6120 and FDCW22</t>
  </si>
  <si>
    <t>- change name from C-NET device "DJ119x" to "DJ119x/FDAI9x"</t>
  </si>
  <si>
    <t>- change C-NETTK from FDCL221-M - Multi line isolator from 1 to 9</t>
  </si>
  <si>
    <t xml:space="preserve">- correct max. amount check on C-NET Terminals  </t>
  </si>
  <si>
    <t>Periphery board - C-NET</t>
  </si>
  <si>
    <t>P2 UART (--&gt; sheet calculation_C-NET_x)</t>
  </si>
  <si>
    <t>FC360</t>
  </si>
  <si>
    <t>FC361</t>
  </si>
  <si>
    <t>FC362</t>
  </si>
  <si>
    <t>FC361-ZZ</t>
  </si>
  <si>
    <t>FC361-YZ</t>
  </si>
  <si>
    <t>FC361-ZA</t>
  </si>
  <si>
    <t>FC361-YA</t>
  </si>
  <si>
    <t>FC362-ZZ</t>
  </si>
  <si>
    <t>FC362-ZA</t>
  </si>
  <si>
    <t>S54433-C112-A1</t>
  </si>
  <si>
    <t>S54433-C111-A1</t>
  </si>
  <si>
    <t>S54433-C110-A1</t>
  </si>
  <si>
    <t>S54433-C109-A1</t>
  </si>
  <si>
    <t>16 zone LED indicator</t>
  </si>
  <si>
    <t>32 zone LED indicator</t>
  </si>
  <si>
    <t>C-NET:</t>
  </si>
  <si>
    <t>Compact</t>
  </si>
  <si>
    <t>C-NET</t>
  </si>
  <si>
    <t>Alarm devices - Sound and Voice</t>
  </si>
  <si>
    <t>Max. Total Current of All Sounders</t>
  </si>
  <si>
    <t>Max. Current of Each Output - Internal power</t>
  </si>
  <si>
    <t>(@ 26.1V)</t>
  </si>
  <si>
    <t>Max. Current of Auxiliary Power</t>
  </si>
  <si>
    <t>Auxiliary Power</t>
  </si>
  <si>
    <t>Total load of auxiliary power</t>
  </si>
  <si>
    <t>Load for external dialer</t>
  </si>
  <si>
    <t>Evacuation module(NL)</t>
  </si>
  <si>
    <t>FTO3601-H1</t>
  </si>
  <si>
    <t>32-zone LED indicator add-on</t>
  </si>
  <si>
    <t>EVAC indicator add-on</t>
  </si>
  <si>
    <t>LED indicators(32 Zone)</t>
  </si>
  <si>
    <t>·</t>
  </si>
  <si>
    <t>Option</t>
  </si>
  <si>
    <t>YES</t>
  </si>
  <si>
    <t>NO</t>
  </si>
  <si>
    <t>RS module (isolated)</t>
  </si>
  <si>
    <t>Whether Output card (4M) equipped or not</t>
  </si>
  <si>
    <t>Internal</t>
  </si>
  <si>
    <t>Output card (4M) powered by internal or external power supply</t>
  </si>
  <si>
    <t>Output 1</t>
  </si>
  <si>
    <t>Fire Control</t>
  </si>
  <si>
    <t>Each output load shall not be greater than 1A.
Total load of 4 outputs shall not be greater than 2A.</t>
  </si>
  <si>
    <t>Output 2</t>
  </si>
  <si>
    <t>Output 3</t>
  </si>
  <si>
    <t>RT-Fire</t>
  </si>
  <si>
    <t>Output 4</t>
  </si>
  <si>
    <t>RT-Fault</t>
  </si>
  <si>
    <t>RT-Fault is triggered by any fault</t>
  </si>
  <si>
    <t>Output card (4M)</t>
  </si>
  <si>
    <t xml:space="preserve">FCA3602-Z1 </t>
  </si>
  <si>
    <t>Output Card</t>
  </si>
  <si>
    <t>Output setting</t>
  </si>
  <si>
    <t>Sounder Line</t>
  </si>
  <si>
    <t>Power supply of Output Card</t>
  </si>
  <si>
    <t>External</t>
  </si>
  <si>
    <t>Input Checks Output Card</t>
  </si>
  <si>
    <t>Input Checks Output 1</t>
  </si>
  <si>
    <t>Input Checks Output 2</t>
  </si>
  <si>
    <t>Input Checks Output 3</t>
  </si>
  <si>
    <t>Input Checks Output 4</t>
  </si>
  <si>
    <t>Max. Current of Total Outputs - Internal power</t>
  </si>
  <si>
    <t>Load on "Output Alarm supervised" (AL_OUT)</t>
  </si>
  <si>
    <t>Load on "Output Fault supervised" (FAU_OUT)</t>
  </si>
  <si>
    <t>2) Choose panel variant.</t>
  </si>
  <si>
    <t>Total length of all cables is the length for line capacity.</t>
  </si>
  <si>
    <t>Cs' is the capacitance per km between one conductor and the other conductor connected to the first one across the shield.
Cp' is the capacitance between the two conductors per km. The cable manufacturer usually states the capacity Cp'.</t>
  </si>
  <si>
    <t xml:space="preserve">For unshielded cables, </t>
  </si>
  <si>
    <t>For shielded cables, if only Cp' is known, but not Cs', the following rule of thumb is used,</t>
  </si>
  <si>
    <t>(5) Indication of result</t>
  </si>
  <si>
    <t>Step 1. Panel selection</t>
  </si>
  <si>
    <t>(1) Panel selection</t>
  </si>
  <si>
    <t>(1) Sounder lines</t>
  </si>
  <si>
    <t>(2) Auxiliary power</t>
  </si>
  <si>
    <t>Step 3. Filling options</t>
  </si>
  <si>
    <t>(1) Permanent Ethernet connection</t>
  </si>
  <si>
    <t>(2) RS Module</t>
  </si>
  <si>
    <t>(3) PMI-Options</t>
  </si>
  <si>
    <t>(4) Output card (4M)</t>
  </si>
  <si>
    <t>(1) Battery required standby-time</t>
  </si>
  <si>
    <t>Input required standby-time and alarm-time (after standby). Battery calculation depends on data input here.</t>
  </si>
  <si>
    <r>
      <rPr>
        <b/>
        <sz val="10"/>
        <rFont val="Arial"/>
        <family val="2"/>
      </rPr>
      <t xml:space="preserve">Integrated supply
</t>
    </r>
    <r>
      <rPr>
        <sz val="10"/>
        <rFont val="Arial"/>
        <family val="2"/>
      </rPr>
      <t>Default power supply in panel.</t>
    </r>
  </si>
  <si>
    <r>
      <t xml:space="preserve">Cell changes to red if
</t>
    </r>
    <r>
      <rPr>
        <sz val="10"/>
        <rFont val="Wingdings 2"/>
        <family val="1"/>
        <charset val="2"/>
      </rPr>
      <t>£</t>
    </r>
    <r>
      <rPr>
        <sz val="10"/>
        <rFont val="Arial"/>
        <family val="2"/>
      </rPr>
      <t xml:space="preserve"> No appropriate power supply is available.</t>
    </r>
  </si>
  <si>
    <t>Appendix A. Cable resistance and cable capacitance</t>
  </si>
  <si>
    <t>FC360 - Cerberus FIT Quantities Tool</t>
  </si>
  <si>
    <t>Average distance between devices</t>
  </si>
  <si>
    <t>Part 1. Planning of the panel load</t>
  </si>
  <si>
    <t>2 sounder lines are provided. Each sounder line has an output limitation of 0.5 A. The total output of the two sounder lines shall not be greater than 0.5 A.</t>
  </si>
  <si>
    <r>
      <t xml:space="preserve">Cell changes to orange if,
</t>
    </r>
    <r>
      <rPr>
        <sz val="10"/>
        <rFont val="Wingdings"/>
        <charset val="2"/>
      </rPr>
      <t>o</t>
    </r>
    <r>
      <rPr>
        <sz val="10"/>
        <rFont val="Arial"/>
        <family val="2"/>
      </rPr>
      <t xml:space="preserve"> Value is greater than 0.5A.
</t>
    </r>
    <r>
      <rPr>
        <sz val="10"/>
        <rFont val="Wingdings"/>
        <charset val="2"/>
      </rPr>
      <t>o</t>
    </r>
    <r>
      <rPr>
        <sz val="10"/>
        <rFont val="Arial"/>
        <family val="2"/>
      </rPr>
      <t xml:space="preserve"> Summed value of the two sounder lines is greater than 0.5 A.</t>
    </r>
  </si>
  <si>
    <r>
      <rPr>
        <b/>
        <sz val="10"/>
        <rFont val="Arial"/>
        <family val="2"/>
      </rPr>
      <t>Output card (4M)</t>
    </r>
    <r>
      <rPr>
        <sz val="10"/>
        <rFont val="Arial"/>
        <family val="2"/>
      </rPr>
      <t xml:space="preserve">
Output card (4M) equipped or not. If no, sub options are collapsed.  </t>
    </r>
  </si>
  <si>
    <r>
      <rPr>
        <b/>
        <sz val="10"/>
        <rFont val="Arial"/>
        <family val="2"/>
      </rPr>
      <t>Power supply of Output card (4M)</t>
    </r>
    <r>
      <rPr>
        <sz val="10"/>
        <rFont val="Arial"/>
        <family val="2"/>
      </rPr>
      <t xml:space="preserve">
When Output card (4M) is equipped, it can be powered by external power supply or internal power supply. If it's powered externally, sub options are collapsed.</t>
    </r>
  </si>
  <si>
    <r>
      <t xml:space="preserve">Required battery
</t>
    </r>
    <r>
      <rPr>
        <sz val="10"/>
        <rFont val="Arial"/>
        <family val="2"/>
      </rPr>
      <t>It is the required battery capacity which is calculated by data input above. Calculation formula is as follows,</t>
    </r>
  </si>
  <si>
    <r>
      <rPr>
        <b/>
        <sz val="10"/>
        <rFont val="Arial"/>
        <family val="2"/>
      </rPr>
      <t xml:space="preserve">Available supply
</t>
    </r>
    <r>
      <rPr>
        <sz val="10"/>
        <rFont val="Arial"/>
        <family val="2"/>
      </rPr>
      <t>If no available power supply meets the requirement (capacity is bigger than the required load), "--" is shown. Otherwise it shows the capacity and power supply type.</t>
    </r>
  </si>
  <si>
    <t>It shows if the configuration has passed the check.</t>
  </si>
  <si>
    <t>Length of line resistor is calculated from each loop connection to the farthest detector. See graph below.</t>
  </si>
  <si>
    <t>Two values are calculated. One is from Loop1-A, while the other one is from Loop1-B. The bigger one is used as length of line resistor.</t>
  </si>
  <si>
    <t>Depending on the cable type, R' can be the cable resistance per km (Ω/km). This corresponds to the resistance value for both cable conductor strings. If R' is unknown,  it can be calculated with the following formula:</t>
  </si>
  <si>
    <t>The tables below show the cable resistance (R') and cable capacitance (Cs') of
different cable types. The values given are reference values and may vary from
one manufacturer to another.
Identical cable designations do not guarantee that the cables have the same
values. They may differ depending on the manufacturer.</t>
  </si>
  <si>
    <t>5) Enter required stand-by time.</t>
  </si>
  <si>
    <t>Load of each sounder line shall not be greater than 0.5 A.
Total sounder load shall not be greater than 0.5 A.</t>
  </si>
  <si>
    <t>Only if used in the operation mode in the panel.</t>
  </si>
  <si>
    <t>Required stand-by time</t>
  </si>
  <si>
    <t>No module</t>
  </si>
  <si>
    <t>No module</t>
    <phoneticPr fontId="6" type="noConversion"/>
  </si>
  <si>
    <t>-</t>
    <phoneticPr fontId="6" type="noConversion"/>
  </si>
  <si>
    <t>This part intends to give an instruction on how to fill out sheet 'FC360_Panel' step by step.</t>
    <phoneticPr fontId="6" type="noConversion"/>
  </si>
  <si>
    <t>Smart Infrastructure</t>
    <phoneticPr fontId="6" type="noConversion"/>
  </si>
  <si>
    <t>Fire Detection System</t>
    <phoneticPr fontId="6" type="noConversion"/>
  </si>
  <si>
    <t>6) The program calculates the result automatically after you enter or update any parameter.</t>
    <phoneticPr fontId="6" type="noConversion"/>
  </si>
  <si>
    <t>(2) Field devices</t>
    <phoneticPr fontId="6" type="noConversion"/>
  </si>
  <si>
    <t>C-NET module2</t>
    <phoneticPr fontId="6" type="noConversion"/>
  </si>
  <si>
    <t>Quiescent current</t>
    <phoneticPr fontId="6" type="noConversion"/>
  </si>
  <si>
    <t>Alarm current</t>
    <phoneticPr fontId="6" type="noConversion"/>
  </si>
  <si>
    <t>Remarks</t>
    <phoneticPr fontId="6" type="noConversion"/>
  </si>
  <si>
    <t>Outputs of main board</t>
    <phoneticPr fontId="6" type="noConversion"/>
  </si>
  <si>
    <t>Sounder lines</t>
    <phoneticPr fontId="6" type="noConversion"/>
  </si>
  <si>
    <t>Quiescent power</t>
    <phoneticPr fontId="6" type="noConversion"/>
  </si>
  <si>
    <t>Alarm power</t>
    <phoneticPr fontId="6" type="noConversion"/>
  </si>
  <si>
    <t>PMI-options</t>
    <phoneticPr fontId="6" type="noConversion"/>
  </si>
  <si>
    <t>Basically auxiliary power is used to provide power to external devices. The maximum capacity is 0.2 A.</t>
    <phoneticPr fontId="6" type="noConversion"/>
  </si>
  <si>
    <t>If a permanent Ethernet connection is used, select "YES", otherwise select "NO".</t>
    <phoneticPr fontId="6" type="noConversion"/>
  </si>
  <si>
    <t>RS module can be RS232 module or RS485 module. "No module" means no RS232 or RS485 module is equipped.</t>
    <phoneticPr fontId="6" type="noConversion"/>
  </si>
  <si>
    <t>The options can be LED indicator (32 zones), Evacuation module (NL) or No module.</t>
    <phoneticPr fontId="6" type="noConversion"/>
  </si>
  <si>
    <t>(2) Battery calculation</t>
    <phoneticPr fontId="6" type="noConversion"/>
  </si>
  <si>
    <t>(3) Supply calculation</t>
    <phoneticPr fontId="6" type="noConversion"/>
  </si>
  <si>
    <t>(4) Configuration result</t>
    <phoneticPr fontId="6" type="noConversion"/>
  </si>
  <si>
    <t>(3) Resistance value R' of cable</t>
    <phoneticPr fontId="6" type="noConversion"/>
  </si>
  <si>
    <t>(4) Capacitance value Cs' of cable</t>
    <phoneticPr fontId="6" type="noConversion"/>
  </si>
  <si>
    <t>(1) "Worst case" calculation</t>
    <phoneticPr fontId="6" type="noConversion"/>
  </si>
  <si>
    <t>(2) "Equally" calculation</t>
    <phoneticPr fontId="6" type="noConversion"/>
  </si>
  <si>
    <t>Auxiliary power</t>
    <phoneticPr fontId="6" type="noConversion"/>
  </si>
  <si>
    <t>Outputs of output card (4M)</t>
    <phoneticPr fontId="6" type="noConversion"/>
  </si>
  <si>
    <t>Power supply of output card (4M)</t>
    <phoneticPr fontId="6" type="noConversion"/>
  </si>
  <si>
    <t>Supply &amp; battery check</t>
    <phoneticPr fontId="6" type="noConversion"/>
  </si>
  <si>
    <t>BAT12-25</t>
    <phoneticPr fontId="6" type="noConversion"/>
  </si>
  <si>
    <t>S54302-Z102-A1</t>
    <phoneticPr fontId="6" type="noConversion"/>
  </si>
  <si>
    <t>no</t>
    <phoneticPr fontId="6" type="noConversion"/>
  </si>
  <si>
    <t>--</t>
    <phoneticPr fontId="6" type="noConversion"/>
  </si>
  <si>
    <t>Permanent Ethernet connection</t>
    <phoneticPr fontId="6" type="noConversion"/>
  </si>
  <si>
    <t>RS232 module (isolated)</t>
    <phoneticPr fontId="6" type="noConversion"/>
  </si>
  <si>
    <t>Step 4. Panel and Supply &amp; battery check</t>
    <phoneticPr fontId="6" type="noConversion"/>
  </si>
  <si>
    <t>This instruction includes two parts: planning of the panel load and planning of the detection line, which correspond to the two sheets "FC360_Panel" and "C-NET _Module2" respectively.</t>
    <phoneticPr fontId="6" type="noConversion"/>
  </si>
  <si>
    <t>Total load of auxiliary power shall not be greater than 0.2 A.</t>
    <phoneticPr fontId="6" type="noConversion"/>
  </si>
  <si>
    <t>Planning of the detection line is implemented in sheet "C-NET_Module2".</t>
    <phoneticPr fontId="6" type="noConversion"/>
  </si>
  <si>
    <t>Complete CPU card cage</t>
    <phoneticPr fontId="6" type="noConversion"/>
  </si>
  <si>
    <t>Second P2 loop</t>
    <phoneticPr fontId="6" type="noConversion"/>
  </si>
  <si>
    <t xml:space="preserve">Where,
ρ (rho)   Specific electrical resistance for copper (constant: 0.0178 Ωmm/m)
2000      2 km in m (both conductors for 1 km cable).
A          Cable cross-section [mm 2 ]. </t>
    <phoneticPr fontId="6" type="noConversion"/>
  </si>
  <si>
    <t>- type of fire control panel.</t>
    <phoneticPr fontId="6" type="noConversion"/>
  </si>
  <si>
    <t>- type of batteries and power supply.</t>
    <phoneticPr fontId="6" type="noConversion"/>
  </si>
  <si>
    <t>1) Choose panel FC361 or FC362.</t>
    <phoneticPr fontId="6" type="noConversion"/>
  </si>
  <si>
    <t>4) Enter other loads from outputs and options.</t>
    <phoneticPr fontId="6" type="noConversion"/>
  </si>
  <si>
    <t>--&gt; The program calculates the necessary batteries and the necessary power supply.</t>
    <phoneticPr fontId="6" type="noConversion"/>
  </si>
  <si>
    <t>… batteries fit in the chosen panel variant or additional housings must be ordered.</t>
    <phoneticPr fontId="6" type="noConversion"/>
  </si>
  <si>
    <t>FTO3603-Z1</t>
    <phoneticPr fontId="6" type="noConversion"/>
  </si>
  <si>
    <t>- load of the panel in idle and alarm state</t>
  </si>
  <si>
    <r>
      <t>--&gt;</t>
    </r>
    <r>
      <rPr>
        <i/>
        <sz val="10"/>
        <rFont val="Arial"/>
        <family val="2"/>
      </rPr>
      <t xml:space="preserve"> </t>
    </r>
    <r>
      <rPr>
        <b/>
        <i/>
        <sz val="10"/>
        <rFont val="Arial"/>
        <family val="2"/>
      </rPr>
      <t>None</t>
    </r>
    <r>
      <rPr>
        <sz val="10"/>
        <rFont val="Arial"/>
        <family val="2"/>
      </rPr>
      <t>: At Alarm state Indicator flashing every 1s (10 Internal and 10 External AI's)</t>
    </r>
  </si>
  <si>
    <r>
      <t>--&gt;</t>
    </r>
    <r>
      <rPr>
        <b/>
        <i/>
        <sz val="10"/>
        <rFont val="Arial"/>
        <family val="2"/>
      </rPr>
      <t xml:space="preserve"> Steady ON</t>
    </r>
    <r>
      <rPr>
        <sz val="10"/>
        <rFont val="Arial"/>
        <family val="2"/>
      </rPr>
      <t>: At alarm state Indicator Steady ON (32 AI's)</t>
    </r>
  </si>
  <si>
    <r>
      <t xml:space="preserve">--&gt; </t>
    </r>
    <r>
      <rPr>
        <b/>
        <i/>
        <sz val="10"/>
        <rFont val="Arial"/>
        <family val="2"/>
      </rPr>
      <t>Operation Indicator</t>
    </r>
    <r>
      <rPr>
        <sz val="10"/>
        <rFont val="Arial"/>
        <family val="2"/>
      </rPr>
      <t>: At Quiet state Indicator flashing every 1s (All AI's), at Alarm state Steady ON (10 AI's)</t>
    </r>
  </si>
  <si>
    <t>If a control is connected to an external AI, this must be entered at Ext. AI-Control rows</t>
  </si>
  <si>
    <r>
      <t xml:space="preserve">yellow fields - </t>
    </r>
    <r>
      <rPr>
        <b/>
        <sz val="10"/>
        <rFont val="Arial"/>
        <family val="2"/>
      </rPr>
      <t>Must</t>
    </r>
    <r>
      <rPr>
        <sz val="10"/>
        <rFont val="Arial"/>
        <family val="2"/>
      </rPr>
      <t xml:space="preserve"> be filled in by the user</t>
    </r>
  </si>
  <si>
    <r>
      <t xml:space="preserve">orange fields - Shows an </t>
    </r>
    <r>
      <rPr>
        <b/>
        <sz val="10"/>
        <rFont val="Arial"/>
        <family val="2"/>
      </rPr>
      <t>input data error</t>
    </r>
    <r>
      <rPr>
        <sz val="10"/>
        <rFont val="Arial"/>
        <family val="2"/>
      </rPr>
      <t xml:space="preserve">. These fields </t>
    </r>
    <r>
      <rPr>
        <b/>
        <sz val="10"/>
        <rFont val="Arial"/>
        <family val="2"/>
      </rPr>
      <t>must</t>
    </r>
    <r>
      <rPr>
        <sz val="10"/>
        <rFont val="Arial"/>
        <family val="2"/>
      </rPr>
      <t xml:space="preserve"> be filled in by the user</t>
    </r>
  </si>
  <si>
    <t>red fields - Calculated value, configuration not valid</t>
  </si>
  <si>
    <t>clear fields - Calculated value, additional information for the user</t>
  </si>
  <si>
    <r>
      <t>FDnetAK</t>
    </r>
    <r>
      <rPr>
        <sz val="10"/>
        <rFont val="Arial"/>
        <family val="2"/>
      </rPr>
      <t>:  FDnet Adressindex (Adresskennzahl), Number of by the device used bus-addresses (including sub-addresses)</t>
    </r>
  </si>
  <si>
    <t>Loop / Stub</t>
  </si>
  <si>
    <r>
      <t>FDnetRK</t>
    </r>
    <r>
      <rPr>
        <sz val="10"/>
        <rFont val="Arial"/>
        <family val="2"/>
      </rPr>
      <t>: FDnet Ruhestromkennzahl (Quietindex); average current of the device in idle state (in load factors). Necessary to calculate the emergency power</t>
    </r>
  </si>
  <si>
    <r>
      <t>FDnetMK</t>
    </r>
    <r>
      <rPr>
        <sz val="10"/>
        <rFont val="Arial"/>
        <family val="2"/>
      </rPr>
      <t>: FDnet Melderkennzahl (Deviceindex); maximal average current of the device, normally in alarm state (in load factors), without internal or external AI</t>
    </r>
  </si>
  <si>
    <r>
      <t>FDnetTK</t>
    </r>
    <r>
      <rPr>
        <sz val="10"/>
        <rFont val="Arial"/>
        <family val="2"/>
      </rPr>
      <t>:  FDnet Trennerkennzahl (Isolator index); separator connection factor: devices with separator = 1, without separator = 0</t>
    </r>
    <r>
      <rPr>
        <sz val="10"/>
        <rFont val="Arial"/>
        <family val="2"/>
      </rPr>
      <t/>
    </r>
  </si>
  <si>
    <t xml:space="preserve">Stub1_1 </t>
  </si>
  <si>
    <t>Stub1_2</t>
  </si>
  <si>
    <t xml:space="preserve">Stub2_1 </t>
  </si>
  <si>
    <t>Stub2_2</t>
  </si>
  <si>
    <t xml:space="preserve">Stub3_1 </t>
  </si>
  <si>
    <t>Stub3_2</t>
  </si>
  <si>
    <t xml:space="preserve">Stub4_1 </t>
  </si>
  <si>
    <t>Stub4_2</t>
  </si>
  <si>
    <r>
      <rPr>
        <b/>
        <sz val="10"/>
        <rFont val="Arial"/>
        <family val="2"/>
      </rPr>
      <t xml:space="preserve">Internal AI: </t>
    </r>
    <r>
      <rPr>
        <sz val="10"/>
        <rFont val="Arial"/>
        <family val="2"/>
      </rPr>
      <t>Device has an internal AI</t>
    </r>
  </si>
  <si>
    <r>
      <rPr>
        <b/>
        <sz val="10"/>
        <rFont val="Arial"/>
        <family val="2"/>
      </rPr>
      <t xml:space="preserve">Constant Current: </t>
    </r>
    <r>
      <rPr>
        <sz val="10"/>
        <rFont val="Arial"/>
        <family val="2"/>
      </rPr>
      <t>Device consumes current independent from device voltage</t>
    </r>
  </si>
  <si>
    <r>
      <rPr>
        <b/>
        <sz val="10"/>
        <rFont val="Arial"/>
        <family val="2"/>
      </rPr>
      <t>Constant Power:</t>
    </r>
    <r>
      <rPr>
        <sz val="10"/>
        <rFont val="Arial"/>
        <family val="2"/>
      </rPr>
      <t xml:space="preserve"> Device consumes current regulated by device voltage</t>
    </r>
  </si>
  <si>
    <t>Selection Card (Normal, PowerBus)</t>
  </si>
  <si>
    <r>
      <rPr>
        <b/>
        <sz val="10"/>
        <rFont val="Arial"/>
        <family val="2"/>
      </rPr>
      <t xml:space="preserve">Low ohmic FET: </t>
    </r>
    <r>
      <rPr>
        <sz val="10"/>
        <rFont val="Arial"/>
        <family val="2"/>
      </rPr>
      <t>Device has an low ohmic isolator FET</t>
    </r>
  </si>
  <si>
    <t>Selection card</t>
  </si>
  <si>
    <r>
      <rPr>
        <b/>
        <sz val="10"/>
        <rFont val="Arial"/>
        <family val="2"/>
      </rPr>
      <t>16V min. device voltage:</t>
    </r>
    <r>
      <rPr>
        <sz val="10"/>
        <rFont val="Arial"/>
        <family val="2"/>
      </rPr>
      <t xml:space="preserve"> Device need  at min. 16V</t>
    </r>
  </si>
  <si>
    <t>Alarm indicator extras</t>
  </si>
  <si>
    <t>Alarm Indicator extras</t>
  </si>
  <si>
    <t>Alarm Indicator Current [A]</t>
  </si>
  <si>
    <t>Alarm Indicator Current Ex-Line [A]</t>
  </si>
  <si>
    <t>Choose max. Line current</t>
  </si>
  <si>
    <t>Choose Current</t>
  </si>
  <si>
    <t>Chosen card current</t>
  </si>
  <si>
    <t>ExtensionView</t>
  </si>
  <si>
    <t>Ext. changable</t>
  </si>
  <si>
    <t>Loop2 visible</t>
  </si>
  <si>
    <t>Constant</t>
  </si>
  <si>
    <t>Current</t>
  </si>
  <si>
    <t>Power</t>
  </si>
  <si>
    <t>Internal AI</t>
  </si>
  <si>
    <t>Low ohmic FET</t>
  </si>
  <si>
    <t>16V min. device voltage</t>
  </si>
  <si>
    <t>Remarks</t>
  </si>
  <si>
    <t>Constant Current</t>
  </si>
  <si>
    <t>constant power</t>
  </si>
  <si>
    <t>OOH740 - Multi Sensor detector</t>
  </si>
  <si>
    <t>Radio devices</t>
  </si>
  <si>
    <t>Integrated modules</t>
  </si>
  <si>
    <t>Alarm devices - Sound</t>
  </si>
  <si>
    <t>External AI-Control</t>
  </si>
  <si>
    <t>Reserve for new devices</t>
  </si>
  <si>
    <t xml:space="preserve">!! Do not fill in new lines !! </t>
  </si>
  <si>
    <t>!! Problem with indirect links !!</t>
  </si>
  <si>
    <r>
      <t xml:space="preserve">Intrinsically safe stub lines 1 (Ex)  - </t>
    </r>
    <r>
      <rPr>
        <b/>
        <i/>
        <sz val="10"/>
        <color indexed="60"/>
        <rFont val="Arial"/>
        <family val="2"/>
      </rPr>
      <t xml:space="preserve"> Line capacitance max. 82nF, line inductance max. 2.3mH, line resistance max. 50 Ohm</t>
    </r>
  </si>
  <si>
    <t>FDCL221-Ex - Line adaptor Ex</t>
  </si>
  <si>
    <t>OOH740-A9-Ex - Neural fire detector Ex</t>
  </si>
  <si>
    <t>FDM223-Ex - Manual call point Ex</t>
  </si>
  <si>
    <t>Ex-Line Adaptor (FDCL221-Ex)</t>
  </si>
  <si>
    <r>
      <t xml:space="preserve">Intrinsically safe stub lines 2 (Ex)  - </t>
    </r>
    <r>
      <rPr>
        <b/>
        <i/>
        <sz val="10"/>
        <color indexed="60"/>
        <rFont val="Arial"/>
        <family val="2"/>
      </rPr>
      <t xml:space="preserve"> Line capacitance max. 82nF, line inductance max. 2.3mH, line resistance max. 50 Ohm</t>
    </r>
  </si>
  <si>
    <t>End line calculation</t>
  </si>
  <si>
    <t>Plausibility wireless device (FDCW221)</t>
  </si>
  <si>
    <t>Plausibility SWiNG wireless device (FDCW241)</t>
  </si>
  <si>
    <t>Amount of FDCIO Input/Output module per loop / stub</t>
  </si>
  <si>
    <t>Amount of FDCIO Input/Output module per line card</t>
  </si>
  <si>
    <t>Amount of FT2001 operation devices per loop / stub</t>
  </si>
  <si>
    <t>Amount of FT2001 operation devices per loop / stub) per line card</t>
  </si>
  <si>
    <t>Amount of FRT / FRD operation devices per loop / stub</t>
  </si>
  <si>
    <t>Amount of FRT / FRD operation devices .per line card</t>
  </si>
  <si>
    <t>Plausibility Ex-Adapter (FDCL221-Ex)</t>
  </si>
  <si>
    <t>Cable length for line resistor</t>
  </si>
  <si>
    <t>Cable length for line capacity</t>
  </si>
  <si>
    <t>Cable type</t>
  </si>
  <si>
    <t>Choose Cal.</t>
  </si>
  <si>
    <t>Calculation characteristics</t>
  </si>
  <si>
    <t>Cable length at start to first device</t>
  </si>
  <si>
    <t>Cable length at end to last device</t>
  </si>
  <si>
    <t>Average distance between low MK devices</t>
  </si>
  <si>
    <t>Average distance between high MK devices</t>
  </si>
  <si>
    <t>Plausibility cable lengths</t>
  </si>
  <si>
    <t>Device information</t>
  </si>
  <si>
    <t>Adressindex (AK) per Loop / Stub</t>
  </si>
  <si>
    <t>Total Adressindex (AK) per Line Card</t>
  </si>
  <si>
    <t>Isolator index (TK)</t>
  </si>
  <si>
    <t>Limit for MK Low/High decision</t>
  </si>
  <si>
    <t>Amount Low MK devices (Adressindex)</t>
  </si>
  <si>
    <t>Amount High MK devices (Adressindex)</t>
  </si>
  <si>
    <t>Amount Total MK devices (Adressindex)</t>
  </si>
  <si>
    <t>Quietindex (RK) per Loop / Stub</t>
  </si>
  <si>
    <t>Deviceindex (MK) per Loop / Stub</t>
  </si>
  <si>
    <t>Total Deviceindex (MK) per Line Card</t>
  </si>
  <si>
    <t>Ex-Line calculation</t>
  </si>
  <si>
    <t>Capacitance Extra Load Ex-Line 1</t>
  </si>
  <si>
    <t>Minimum Line Voltage Ex-Line 1 (less than 19V)</t>
  </si>
  <si>
    <t>Capacitance Extra Load Ex-Line 2</t>
  </si>
  <si>
    <t>Minimum Line Voltage Ex-Line 2 (less than 19V)</t>
  </si>
  <si>
    <t>Alarm Indicator Current for Ex-Line (only if active)</t>
  </si>
  <si>
    <t>Minimal Line voltage</t>
  </si>
  <si>
    <t>Is minimal Device Voltage 16V</t>
  </si>
  <si>
    <t>Minimal Device Voltage</t>
  </si>
  <si>
    <t>Additional Line information</t>
  </si>
  <si>
    <t>Leak current</t>
  </si>
  <si>
    <t>Alarm Indicator Current</t>
  </si>
  <si>
    <t>Maximum Cable Length at Start/End for Low MK devices</t>
  </si>
  <si>
    <t>Maximum Cable Length at Start/End for High MK devices</t>
  </si>
  <si>
    <t>Product Rdet*TK (with High ohmic FET isolator)</t>
  </si>
  <si>
    <t>Product Rdet*TK (with High and Low ohmic FET isolator)</t>
  </si>
  <si>
    <t>Alarm calculation</t>
  </si>
  <si>
    <t>Alarm Voltage at Line Start, 1st calculation</t>
  </si>
  <si>
    <t>Alarm Voltage at Line before Cable, 1st calculation</t>
  </si>
  <si>
    <t>Cable resistor between last device and start line</t>
  </si>
  <si>
    <t>Alarm Current, 1st calculation</t>
  </si>
  <si>
    <t>Alarm Voltage at Line Start after recursion</t>
  </si>
  <si>
    <t>Alarm Voltage at Line End after recursion</t>
  </si>
  <si>
    <t>Maximum alarm current per Loop / Stub</t>
  </si>
  <si>
    <t>Alarm current per Loop / Stub</t>
  </si>
  <si>
    <t>Maximum alarm current per Line Card</t>
  </si>
  <si>
    <t>Total alarm current per Line Card</t>
  </si>
  <si>
    <t>Current consumption alarm (at Panel by 24V)</t>
  </si>
  <si>
    <t>Quiet calculation</t>
  </si>
  <si>
    <t>Quiet Voltage at Line Start, 1st calculation</t>
  </si>
  <si>
    <t>Quiet Voltage at Line End after recursion</t>
  </si>
  <si>
    <t>Quiet current per Loop / Stub</t>
  </si>
  <si>
    <t>Total quiet current per Line Card</t>
  </si>
  <si>
    <t>Current consumption quiet (at Panel by 24V)</t>
  </si>
  <si>
    <t>Cabling information</t>
  </si>
  <si>
    <t>Line Resistors</t>
  </si>
  <si>
    <t>Resistor load per Loop / Stub</t>
  </si>
  <si>
    <t>Additional possible resistor load per Loop / Stub (approximate estimate, dRmax)</t>
  </si>
  <si>
    <t>Additional possible cable length per Loop / Stub (approximate estimate)</t>
  </si>
  <si>
    <t>Additional possible MK per Loop / Stub (approximate estimate)</t>
  </si>
  <si>
    <t>Max. possible line resistor (only with High ohmic FET isolator "old formula")</t>
  </si>
  <si>
    <t>Max. possible line resistor (with High and Low ohmic FET isolator "old formula")</t>
  </si>
  <si>
    <t>Line Capacitance</t>
  </si>
  <si>
    <t>Maximum line capacitive per Loop / Stub</t>
  </si>
  <si>
    <t>Cable capacitive per Loop / Stub</t>
  </si>
  <si>
    <t>Capacitive extra load of devices per Loop / Stub</t>
  </si>
  <si>
    <t>Maximum line capacitive per Line Card</t>
  </si>
  <si>
    <t>Total capacitive load per Line Card</t>
  </si>
  <si>
    <t>Refresh Check</t>
  </si>
  <si>
    <t>Refresh Calculation Necessary</t>
  </si>
  <si>
    <t>Configuration Check</t>
  </si>
  <si>
    <t>Is Line Configuration OK</t>
  </si>
  <si>
    <t>Is Card Configuration OK</t>
  </si>
  <si>
    <t>Button Text</t>
  </si>
  <si>
    <t>Calculation Check</t>
  </si>
  <si>
    <t>Is Line calculation possible (wrong type at input fields)</t>
  </si>
  <si>
    <t>Max. Adressindex per Stub</t>
  </si>
  <si>
    <t>MaxAKStub</t>
  </si>
  <si>
    <t>Max. Adressindex per Loop</t>
  </si>
  <si>
    <t>MaxAKLoop</t>
  </si>
  <si>
    <t>Min. detector voltage</t>
  </si>
  <si>
    <t>Vdet_min</t>
  </si>
  <si>
    <t>Min. beacon voltage AD18</t>
  </si>
  <si>
    <t>Vdet_min_AD18</t>
  </si>
  <si>
    <t>Nom. Answer voltage</t>
  </si>
  <si>
    <t>Vans</t>
  </si>
  <si>
    <t>Operation indicator factor</t>
  </si>
  <si>
    <t>OperationIndicatorFactor</t>
  </si>
  <si>
    <t>Current for Operation indicator ~180uA -&gt; 180uA/250uA</t>
  </si>
  <si>
    <t>Internal alarm indicator current</t>
  </si>
  <si>
    <t>I_Iai</t>
  </si>
  <si>
    <t>Amount of Internal alarm indicators</t>
  </si>
  <si>
    <t>N_Iai</t>
  </si>
  <si>
    <t>External alarm indicator current</t>
  </si>
  <si>
    <t>I_Eai</t>
  </si>
  <si>
    <t>Amount of External alarm indicators</t>
  </si>
  <si>
    <t>N_Eai</t>
  </si>
  <si>
    <t>Steady on Internal alarm indicator current</t>
  </si>
  <si>
    <t>I_IaiSteadyOn</t>
  </si>
  <si>
    <t>3ms/25ms*10mA (LED is every 25ms for 3ms active, current 10mA)</t>
  </si>
  <si>
    <t>Amount of steadyOn internal alarm indicators (GB)</t>
  </si>
  <si>
    <t>N_IaiSteadyOn_GB</t>
  </si>
  <si>
    <t>GB standard demand 32 devices on alarm</t>
  </si>
  <si>
    <t>Amount of steadyOn internal alarm indicators (operation indicator)</t>
  </si>
  <si>
    <t>N_IaiSteadyOn_OI</t>
  </si>
  <si>
    <t>max. 10 devices on alarm</t>
  </si>
  <si>
    <t>Max. FET resistor for low Typ</t>
  </si>
  <si>
    <t>Rdet_low</t>
  </si>
  <si>
    <t>Max. numbers of wireless device per gateway</t>
  </si>
  <si>
    <t>MaxRadioDevice</t>
  </si>
  <si>
    <t>Max. numbers of wireless device per gateway SWiNG</t>
  </si>
  <si>
    <t>MaxSwingDevice</t>
  </si>
  <si>
    <t>Maximum number of FDCIO per Line Card</t>
  </si>
  <si>
    <t>MaxFDCIO_Device</t>
  </si>
  <si>
    <t>Maximum number of FT2001 per Line Card</t>
  </si>
  <si>
    <t>MaxFT2001_Device</t>
  </si>
  <si>
    <t>Maximum number of FRT / FRD per Line Card</t>
  </si>
  <si>
    <t>MaxFRT_FRD_Device</t>
  </si>
  <si>
    <t>P2 Ex-Stub characteristic values</t>
  </si>
  <si>
    <t>Max. leakcurrent per Ex-Stub</t>
  </si>
  <si>
    <t>IleakEx</t>
  </si>
  <si>
    <t>Ex-Stub rules and calculation basis</t>
  </si>
  <si>
    <t>Min. detector voltage with FDCL-Ex</t>
  </si>
  <si>
    <t>VdetEx_min</t>
  </si>
  <si>
    <t>- FDCL221-Ex together with device load is added to line</t>
  </si>
  <si>
    <t>Max. ex line cable res. (incl. Barriere)</t>
  </si>
  <si>
    <t>RlEx</t>
  </si>
  <si>
    <t xml:space="preserve">
- from the load a minimum FDCL22-1Ex input voltage is resulting</t>
  </si>
  <si>
    <t>Max. loop cable resistance Ex</t>
  </si>
  <si>
    <t>RansEx</t>
  </si>
  <si>
    <t>- line parameters of Ex-Line need not be specified,</t>
  </si>
  <si>
    <t>Ex-transformer current ratio</t>
  </si>
  <si>
    <t>ConvIEx</t>
  </si>
  <si>
    <t xml:space="preserve">  worst case values are considered  (50 Ohm, 82nF)</t>
  </si>
  <si>
    <t>Ex-transformer voltage ratio</t>
  </si>
  <si>
    <t>ConvUEx</t>
  </si>
  <si>
    <t>- max. line resistance before FDCL221-Ex is 190 Ohm</t>
  </si>
  <si>
    <t>Ex-voltagedrop_trafo</t>
  </si>
  <si>
    <t>VdropEx</t>
  </si>
  <si>
    <t>- up to 2 FDCL221-Ex per Loop are possible, only 1 on a stub</t>
  </si>
  <si>
    <t>Capacitive Load FDCL221-Ex</t>
  </si>
  <si>
    <t>C_FDCL</t>
  </si>
  <si>
    <t>- FDCL221-Ex adds 200nF capacitive load to the line</t>
  </si>
  <si>
    <t>Upper Limit for minimal FDCL221-Ex input voltage</t>
  </si>
  <si>
    <t>V_FDCL_ul</t>
  </si>
  <si>
    <t>- FDCL221-Ex minimum input voltage must be below 19V (output clamp)</t>
  </si>
  <si>
    <t>Max. number of detectors in Alarm on one FDCL221-Ex</t>
  </si>
  <si>
    <t>N_AI_Ex</t>
  </si>
  <si>
    <t>- 10% of allowed devices on a stub; accepted by PM for CN</t>
  </si>
  <si>
    <t>Max. number of detectors at adapter</t>
  </si>
  <si>
    <t>MaxExDevice</t>
  </si>
  <si>
    <t>Formula for determination of minimal Fdnet line voltage with a connected Fdnet Ex-stub:</t>
  </si>
  <si>
    <t>Vline_min may not be larger than V_FDCL_ul, otherwise</t>
  </si>
  <si>
    <t>the input is clipped if to avoid unsafe voltages at the Ex-line side</t>
  </si>
  <si>
    <t>OP360 - Smoke detector</t>
    <phoneticPr fontId="31" type="noConversion"/>
  </si>
  <si>
    <t>pcs.</t>
    <phoneticPr fontId="31" type="noConversion"/>
  </si>
  <si>
    <t>Press Button to refresh calculation</t>
    <phoneticPr fontId="31" type="noConversion"/>
  </si>
  <si>
    <t>OH360 - Multi-sensor smoke detector</t>
    <phoneticPr fontId="31" type="noConversion"/>
  </si>
  <si>
    <t>HI360 - Heat detector (RoR)</t>
    <phoneticPr fontId="31" type="noConversion"/>
  </si>
  <si>
    <t>FDF241-9 - Infrared flame detector</t>
    <phoneticPr fontId="31" type="noConversion"/>
  </si>
  <si>
    <t>FDL241-9 - Linear smoke detector</t>
    <phoneticPr fontId="31" type="noConversion"/>
  </si>
  <si>
    <t>OOHC740 - Neural Fire and CO detector</t>
    <phoneticPr fontId="31" type="noConversion"/>
  </si>
  <si>
    <t>FDM231 - Manual call point</t>
    <phoneticPr fontId="31" type="noConversion"/>
  </si>
  <si>
    <t>FDCIO224 - In/Output module (4I&amp;4O)</t>
    <phoneticPr fontId="31" type="noConversion"/>
  </si>
  <si>
    <t>FDCL221 - Line isolator</t>
    <phoneticPr fontId="31" type="noConversion"/>
  </si>
  <si>
    <t>FDCL221-M - Multi line isolator</t>
    <phoneticPr fontId="31" type="noConversion"/>
  </si>
  <si>
    <t>FDCI723 - Zone module, ext. powered (1 collective line)</t>
    <phoneticPr fontId="31" type="noConversion"/>
  </si>
  <si>
    <t>FDCI361 - Input module</t>
    <phoneticPr fontId="31" type="noConversion"/>
  </si>
  <si>
    <t>FDCIO361 - Input/Output module</t>
    <phoneticPr fontId="31" type="noConversion"/>
  </si>
  <si>
    <t>Press Button to refresh calculation</t>
  </si>
  <si>
    <t>pcs.</t>
    <phoneticPr fontId="31" type="noConversion"/>
  </si>
  <si>
    <t>FT2010 (supply over C-NET) - FRT</t>
    <phoneticPr fontId="31" type="noConversion"/>
  </si>
  <si>
    <t>FT2010 (with external supply) - FRT</t>
    <phoneticPr fontId="31" type="noConversion"/>
  </si>
  <si>
    <t>FT2011 (supply over C-NET) - FRD</t>
    <phoneticPr fontId="31" type="noConversion"/>
  </si>
  <si>
    <t>FT2011 (with external supply) - FRD</t>
    <phoneticPr fontId="31" type="noConversion"/>
  </si>
  <si>
    <t>FDCAI221 - Addressable alarm indicator</t>
    <phoneticPr fontId="31" type="noConversion"/>
  </si>
  <si>
    <t>Device Population</t>
    <phoneticPr fontId="31" type="noConversion"/>
  </si>
  <si>
    <t>3) Fill out C-NET_Module2 and get green 'Configuration valid'</t>
  </si>
  <si>
    <t>--&gt; The panel configuration must be 'Configuration ok' with green thumb and smile face before continuing.</t>
  </si>
  <si>
    <r>
      <t xml:space="preserve">Cell changes to orange if
</t>
    </r>
    <r>
      <rPr>
        <sz val="10"/>
        <rFont val="Wingdings"/>
        <charset val="2"/>
      </rPr>
      <t>o</t>
    </r>
    <r>
      <rPr>
        <sz val="10"/>
        <rFont val="Arial"/>
        <family val="2"/>
      </rPr>
      <t xml:space="preserve"> Value is greater than 0.2A</t>
    </r>
  </si>
  <si>
    <t>security_factor: for no more than 24-h standby, security_factor is 1.25; for more than 24-h standby, security_factor is 1.</t>
  </si>
  <si>
    <r>
      <t xml:space="preserve">Cell changes to red if
</t>
    </r>
    <r>
      <rPr>
        <sz val="10"/>
        <rFont val="Wingdings 2"/>
        <family val="1"/>
        <charset val="2"/>
      </rPr>
      <t>£</t>
    </r>
    <r>
      <rPr>
        <sz val="10"/>
        <rFont val="Arial"/>
        <family val="2"/>
      </rPr>
      <t xml:space="preserve"> No appropriate battery is available.</t>
    </r>
  </si>
  <si>
    <t>Step 1: Input number of devices.</t>
  </si>
  <si>
    <t xml:space="preserve">1.1 Choose correct Alarm indicator extras </t>
  </si>
  <si>
    <t>1.2  Device population</t>
  </si>
  <si>
    <t>1.3 Enter the number of devices per loop / stub in the table</t>
  </si>
  <si>
    <t>Click on "+" on the left column of each type of devices to spread out devices list and enter the number of devices per loop / stub</t>
  </si>
  <si>
    <t>Devices type: Point detectors; Special detectors; Manual call points; Line modules; Alarm devices - Sound; Alarm devices -  Sound and Voice; Alarm devices -  Sound and Light (Beacon); Alarm devices - Sound and Voice and Light (Beacon) and Operation and indication devices</t>
  </si>
  <si>
    <t>Step 2. Input cable characteristics</t>
  </si>
  <si>
    <t>2.1 Cable characteristics</t>
  </si>
  <si>
    <t xml:space="preserve">Click the dropdown arrow of optional frame, select detection line cable type. Default is 'Enter cable parameter manually'. </t>
  </si>
  <si>
    <t>(1) Cable length for line resistor</t>
  </si>
  <si>
    <t>(2) Cable length for line capacity</t>
  </si>
  <si>
    <r>
      <t xml:space="preserve">To determine the length for line capacity, the following cable lengths must be added: 
</t>
    </r>
    <r>
      <rPr>
        <sz val="10"/>
        <rFont val="Wingdings"/>
        <charset val="2"/>
      </rPr>
      <t>o</t>
    </r>
    <r>
      <rPr>
        <sz val="10"/>
        <rFont val="Arial"/>
        <family val="2"/>
      </rPr>
      <t xml:space="preserve"> Total loop length. 
</t>
    </r>
    <r>
      <rPr>
        <sz val="10"/>
        <rFont val="Wingdings"/>
        <charset val="2"/>
      </rPr>
      <t>o</t>
    </r>
    <r>
      <rPr>
        <sz val="10"/>
        <rFont val="Arial"/>
        <family val="2"/>
      </rPr>
      <t xml:space="preserve"> Length of all stub lines.
</t>
    </r>
    <r>
      <rPr>
        <sz val="10"/>
        <rFont val="Wingdings"/>
        <charset val="2"/>
      </rPr>
      <t>o</t>
    </r>
    <r>
      <rPr>
        <sz val="10"/>
        <rFont val="Arial"/>
        <family val="2"/>
      </rPr>
      <t xml:space="preserve"> Length of all cables to all external alarm indicators. 
</t>
    </r>
    <r>
      <rPr>
        <sz val="10"/>
        <rFont val="Wingdings"/>
        <charset val="2"/>
      </rPr>
      <t>o</t>
    </r>
    <r>
      <rPr>
        <sz val="10"/>
        <rFont val="Arial"/>
        <family val="2"/>
      </rPr>
      <t xml:space="preserve"> Length of all cables to external circuits (e.g. fire controls). </t>
    </r>
  </si>
  <si>
    <t>2.2 Calculation characteristics</t>
  </si>
  <si>
    <t>Choose calculation characteristics</t>
    <phoneticPr fontId="33" type="noConversion"/>
  </si>
  <si>
    <r>
      <t xml:space="preserve">--&gt; </t>
    </r>
    <r>
      <rPr>
        <b/>
        <i/>
        <sz val="10"/>
        <rFont val="Arial"/>
        <family val="2"/>
      </rPr>
      <t>Worst case</t>
    </r>
    <r>
      <rPr>
        <sz val="10"/>
        <rFont val="Arial"/>
        <family val="2"/>
      </rPr>
      <t>: All devices are placed at end of line for calculation.</t>
    </r>
  </si>
  <si>
    <r>
      <t xml:space="preserve">--&gt; </t>
    </r>
    <r>
      <rPr>
        <b/>
        <i/>
        <sz val="10"/>
        <rFont val="Arial"/>
        <family val="2"/>
      </rPr>
      <t>Equally</t>
    </r>
    <r>
      <rPr>
        <sz val="10"/>
        <rFont val="Arial"/>
        <family val="2"/>
      </rPr>
      <t>: All devices are distributed equally over cable length. Possibility to add extra start and end cable length.</t>
    </r>
  </si>
  <si>
    <r>
      <rPr>
        <b/>
        <sz val="10"/>
        <rFont val="Arial"/>
        <family val="2"/>
      </rPr>
      <t>Used if:</t>
    </r>
    <r>
      <rPr>
        <sz val="10"/>
        <rFont val="Arial"/>
        <family val="2"/>
      </rPr>
      <t xml:space="preserve">
You want to be sure that function is guaranteed for </t>
    </r>
    <r>
      <rPr>
        <b/>
        <sz val="10"/>
        <rFont val="Arial"/>
        <family val="2"/>
      </rPr>
      <t>all device distribution.</t>
    </r>
    <r>
      <rPr>
        <sz val="10"/>
        <rFont val="Arial"/>
        <family val="2"/>
      </rPr>
      <t xml:space="preserve">
</t>
    </r>
    <r>
      <rPr>
        <b/>
        <sz val="10"/>
        <rFont val="Arial"/>
        <family val="2"/>
      </rPr>
      <t>Limitatio</t>
    </r>
    <r>
      <rPr>
        <sz val="10"/>
        <rFont val="Arial"/>
        <family val="2"/>
      </rPr>
      <t>n:
- Stub on Loop (except capacity calculation).</t>
    </r>
  </si>
  <si>
    <t>Step 3. Check the analysis of configuration</t>
  </si>
  <si>
    <t>(1) Device information</t>
  </si>
  <si>
    <r>
      <t xml:space="preserve">Addressindex (AK) per loop/stub
</t>
    </r>
    <r>
      <rPr>
        <sz val="10"/>
        <rFont val="Arial"/>
        <family val="2"/>
      </rPr>
      <t>Number of bus addresses used by devices on a loop or stub  (including sub-addresses).</t>
    </r>
  </si>
  <si>
    <r>
      <t xml:space="preserve">Total Adressindex (AK) per Line Card
</t>
    </r>
    <r>
      <rPr>
        <sz val="10"/>
        <rFont val="Arial"/>
        <family val="2"/>
      </rPr>
      <t>Number of bus addresses used by devices on all loops and stubs  (including sub-addresses).</t>
    </r>
  </si>
  <si>
    <r>
      <t xml:space="preserve">Cell changes to red if,
</t>
    </r>
    <r>
      <rPr>
        <sz val="10"/>
        <rFont val="Wingdings"/>
        <charset val="2"/>
      </rPr>
      <t>o</t>
    </r>
    <r>
      <rPr>
        <sz val="10"/>
        <rFont val="Arial"/>
        <family val="2"/>
      </rPr>
      <t xml:space="preserve"> Value &gt; 126</t>
    </r>
  </si>
  <si>
    <t>(2) Alarm calculation</t>
  </si>
  <si>
    <r>
      <t xml:space="preserve">Total alarm current per Line Card
</t>
    </r>
    <r>
      <rPr>
        <sz val="10"/>
        <rFont val="Arial"/>
        <family val="2"/>
      </rPr>
      <t>The total alarm current of detective lines in alarm state on a loop or stub</t>
    </r>
  </si>
  <si>
    <r>
      <t xml:space="preserve">Current consumption alarm (at Panel by 24V)
</t>
    </r>
    <r>
      <rPr>
        <sz val="10"/>
        <rFont val="Arial"/>
        <family val="2"/>
      </rPr>
      <t>Total consumption alarm current on panel 24V power supply</t>
    </r>
  </si>
  <si>
    <r>
      <t xml:space="preserve">Cell changes to red if,
</t>
    </r>
    <r>
      <rPr>
        <sz val="10"/>
        <rFont val="Wingdings"/>
        <charset val="2"/>
      </rPr>
      <t>o</t>
    </r>
    <r>
      <rPr>
        <sz val="10"/>
        <rFont val="Arial"/>
        <family val="2"/>
      </rPr>
      <t xml:space="preserve"> Value of total alarm current larger than Maximum alarm current</t>
    </r>
  </si>
  <si>
    <t>(3) Quiet calculation</t>
  </si>
  <si>
    <t>(4) Cabling information</t>
  </si>
  <si>
    <r>
      <t xml:space="preserve">Additional possible resistor load per Loop / Stub (approximate estimate, dRmax)
</t>
    </r>
    <r>
      <rPr>
        <sz val="10"/>
        <rFont val="Arial"/>
        <family val="2"/>
      </rPr>
      <t>Except planning cable, the additional possible cable resistance would be allowed.</t>
    </r>
  </si>
  <si>
    <r>
      <t xml:space="preserve">Additional possible cable length per Loop / Stub (approximate estimate)
</t>
    </r>
    <r>
      <rPr>
        <sz val="10"/>
        <rFont val="Arial"/>
        <family val="2"/>
      </rPr>
      <t>Except planning cable length, the additional possible cable length would be allowed.</t>
    </r>
  </si>
  <si>
    <r>
      <rPr>
        <b/>
        <sz val="10"/>
        <rFont val="Arial"/>
        <family val="2"/>
      </rPr>
      <t>Maximum line capacitive per Loop / Stub</t>
    </r>
    <r>
      <rPr>
        <sz val="10"/>
        <rFont val="Arial"/>
        <family val="2"/>
      </rPr>
      <t xml:space="preserve">
Allowable maximum line capacity per loop/stub.</t>
    </r>
  </si>
  <si>
    <r>
      <t xml:space="preserve">Cell changes to red if,
</t>
    </r>
    <r>
      <rPr>
        <sz val="10"/>
        <rFont val="Wingdings"/>
        <charset val="2"/>
      </rPr>
      <t>o</t>
    </r>
    <r>
      <rPr>
        <sz val="10"/>
        <rFont val="Arial"/>
        <family val="2"/>
      </rPr>
      <t xml:space="preserve"> Value is greater than 'Maximum line capacitive per Loop / Stub’.</t>
    </r>
  </si>
  <si>
    <r>
      <rPr>
        <b/>
        <sz val="10"/>
        <rFont val="Arial"/>
        <family val="2"/>
      </rPr>
      <t>Maximum line capacitive per Line Card</t>
    </r>
    <r>
      <rPr>
        <sz val="10"/>
        <rFont val="Arial"/>
        <family val="2"/>
      </rPr>
      <t xml:space="preserve">
Allowable maximum capacity per panel. Total capacity of all loops and stubs shall not be greater than it. </t>
    </r>
  </si>
  <si>
    <r>
      <rPr>
        <b/>
        <sz val="10"/>
        <rFont val="Arial"/>
        <family val="2"/>
      </rPr>
      <t>Total capacitive load per Line Card</t>
    </r>
    <r>
      <rPr>
        <sz val="10"/>
        <rFont val="Arial"/>
        <family val="2"/>
      </rPr>
      <t xml:space="preserve">
Total capacity of all loops and stubs.</t>
    </r>
  </si>
  <si>
    <r>
      <t xml:space="preserve">Cell changes to red if,
</t>
    </r>
    <r>
      <rPr>
        <sz val="10"/>
        <rFont val="Wingdings"/>
        <charset val="2"/>
      </rPr>
      <t>o</t>
    </r>
    <r>
      <rPr>
        <sz val="10"/>
        <rFont val="Arial"/>
        <family val="2"/>
      </rPr>
      <t xml:space="preserve"> Value is greater than ‘Maximum line capacitive per Line Card’.</t>
    </r>
  </si>
  <si>
    <t>If all inputs are right, a green symbol 'Configuration valid' is shown, otherwise a red symbol 'Configuration not valid' is shown.</t>
  </si>
  <si>
    <t>yellow fields, Must be filled in by the user.</t>
  </si>
  <si>
    <t>orange fields, Shows an input data error. These fields must be filled in by the user.</t>
  </si>
  <si>
    <t>green fields, Calculated value, configuration valid. Field must not be changed by the user.</t>
  </si>
  <si>
    <t>red fields, Calculated value, configuration invalid. Field must not be changed by the user.</t>
  </si>
  <si>
    <t>light green fields, Calculated value, additional information for the user. Field must not be changed by the user.</t>
  </si>
  <si>
    <t>pcs.</t>
    <phoneticPr fontId="31" type="noConversion"/>
  </si>
  <si>
    <t>FDAI9x - Ext. AI-Control</t>
    <phoneticPr fontId="31" type="noConversion"/>
  </si>
  <si>
    <t>1.) Choose correct Alarm indicator extras (per loop/stub)</t>
  </si>
  <si>
    <t>3.) Enter the number of devices per loop/stub in the table</t>
  </si>
  <si>
    <t>4.) Input cable characteristics and cable length</t>
  </si>
  <si>
    <t>5.) Choose calculation characteristics</t>
  </si>
  <si>
    <t>--&gt; Worst case: All devices are placed at end of line for calculation</t>
    <phoneticPr fontId="6" type="noConversion"/>
  </si>
  <si>
    <t>--&gt; Equally: All devices are distributed equally over cable length. Possibility to add extra start and end cable length</t>
    <phoneticPr fontId="6" type="noConversion"/>
  </si>
  <si>
    <t>7.) Check that no input field is orange</t>
  </si>
  <si>
    <t>8.) Click 'Press Button to refresh calculation'</t>
  </si>
  <si>
    <t>9.) All data are now complete. The program calculates the configuration</t>
  </si>
  <si>
    <t>--&gt; If all analyses are "green" , configuration is "Configuration valid"</t>
  </si>
  <si>
    <t>Planning of C-NET detector lines</t>
  </si>
  <si>
    <t>--&gt; If some analysis field are red and "Configuration not valid" is red, change parameters to get a valid configuration</t>
  </si>
  <si>
    <t>RT-Falt [w]</t>
    <phoneticPr fontId="31" type="noConversion"/>
  </si>
  <si>
    <r>
      <rPr>
        <b/>
        <sz val="10"/>
        <rFont val="Arial"/>
        <family val="2"/>
      </rPr>
      <t>Used if:</t>
    </r>
    <r>
      <rPr>
        <sz val="10"/>
        <rFont val="Arial"/>
        <family val="2"/>
      </rPr>
      <t xml:space="preserve">
- Devices are </t>
    </r>
    <r>
      <rPr>
        <b/>
        <sz val="10"/>
        <rFont val="Arial"/>
        <family val="2"/>
      </rPr>
      <t>distributed</t>
    </r>
    <r>
      <rPr>
        <sz val="10"/>
        <rFont val="Arial"/>
        <family val="2"/>
      </rPr>
      <t xml:space="preserve"> nearly </t>
    </r>
    <r>
      <rPr>
        <b/>
        <sz val="10"/>
        <rFont val="Arial"/>
        <family val="2"/>
      </rPr>
      <t>equal over loop.</t>
    </r>
    <r>
      <rPr>
        <sz val="10"/>
        <rFont val="Arial"/>
        <family val="2"/>
      </rPr>
      <t xml:space="preserve">
</t>
    </r>
    <r>
      <rPr>
        <b/>
        <sz val="10"/>
        <rFont val="Arial"/>
        <family val="2"/>
      </rPr>
      <t xml:space="preserve">    Attention:</t>
    </r>
    <r>
      <rPr>
        <sz val="10"/>
        <rFont val="Arial"/>
        <family val="2"/>
      </rPr>
      <t xml:space="preserve"> Loop function is not guaranteed if distribution is unequal.
- </t>
    </r>
    <r>
      <rPr>
        <b/>
        <sz val="10"/>
        <rFont val="Arial"/>
        <family val="2"/>
      </rPr>
      <t>Possibility</t>
    </r>
    <r>
      <rPr>
        <sz val="10"/>
        <rFont val="Arial"/>
        <family val="2"/>
      </rPr>
      <t xml:space="preserve"> to add </t>
    </r>
    <r>
      <rPr>
        <b/>
        <sz val="10"/>
        <rFont val="Arial"/>
        <family val="2"/>
      </rPr>
      <t>start</t>
    </r>
    <r>
      <rPr>
        <sz val="10"/>
        <rFont val="Arial"/>
        <family val="2"/>
      </rPr>
      <t xml:space="preserve"> and </t>
    </r>
    <r>
      <rPr>
        <b/>
        <sz val="10"/>
        <rFont val="Arial"/>
        <family val="2"/>
      </rPr>
      <t>end</t>
    </r>
    <r>
      <rPr>
        <sz val="10"/>
        <rFont val="Arial"/>
        <family val="2"/>
      </rPr>
      <t xml:space="preserve"> length without devices.
</t>
    </r>
    <r>
      <rPr>
        <b/>
        <sz val="10"/>
        <rFont val="Arial"/>
        <family val="2"/>
      </rPr>
      <t>Limitation:</t>
    </r>
    <r>
      <rPr>
        <sz val="10"/>
        <rFont val="Arial"/>
        <family val="2"/>
      </rPr>
      <t xml:space="preserve">
- Stub on Loop (except capacity calculation).</t>
    </r>
    <phoneticPr fontId="31" type="noConversion"/>
  </si>
  <si>
    <r>
      <rPr>
        <b/>
        <sz val="10"/>
        <color theme="1"/>
        <rFont val="Arial"/>
        <family val="2"/>
      </rPr>
      <t>FDS221-R, FDS221-W</t>
    </r>
    <r>
      <rPr>
        <sz val="10"/>
        <color theme="1"/>
        <rFont val="Arial"/>
        <family val="2"/>
      </rPr>
      <t xml:space="preserve"> - Alarm sounder red or white housing, </t>
    </r>
    <r>
      <rPr>
        <b/>
        <sz val="10"/>
        <color theme="1"/>
        <rFont val="Arial"/>
        <family val="2"/>
      </rPr>
      <t>Volume High</t>
    </r>
    <phoneticPr fontId="31" type="noConversion"/>
  </si>
  <si>
    <r>
      <rPr>
        <b/>
        <sz val="10"/>
        <color theme="0" tint="-0.249977111117893"/>
        <rFont val="Arial"/>
        <family val="2"/>
      </rPr>
      <t>FDS221-R, FDS221-W</t>
    </r>
    <r>
      <rPr>
        <sz val="10"/>
        <color theme="0" tint="-0.249977111117893"/>
        <rFont val="Arial"/>
        <family val="2"/>
      </rPr>
      <t xml:space="preserve"> - Alarm sounder red or white housing,</t>
    </r>
    <r>
      <rPr>
        <sz val="10"/>
        <color theme="1"/>
        <rFont val="Arial"/>
        <family val="2"/>
      </rPr>
      <t xml:space="preserve"> </t>
    </r>
    <r>
      <rPr>
        <b/>
        <sz val="10"/>
        <color theme="1"/>
        <rFont val="Arial"/>
        <family val="2"/>
      </rPr>
      <t>Volume Medium</t>
    </r>
    <phoneticPr fontId="31" type="noConversion"/>
  </si>
  <si>
    <r>
      <rPr>
        <b/>
        <sz val="10"/>
        <color theme="0" tint="-0.249977111117893"/>
        <rFont val="Arial"/>
        <family val="2"/>
      </rPr>
      <t>FDS221-R, FDS221-W</t>
    </r>
    <r>
      <rPr>
        <sz val="10"/>
        <color theme="0" tint="-0.249977111117893"/>
        <rFont val="Arial"/>
        <family val="2"/>
      </rPr>
      <t xml:space="preserve"> - Alarm sounder red or white housing,</t>
    </r>
    <r>
      <rPr>
        <sz val="10"/>
        <color theme="1"/>
        <rFont val="Arial"/>
        <family val="2"/>
      </rPr>
      <t xml:space="preserve"> </t>
    </r>
    <r>
      <rPr>
        <b/>
        <sz val="10"/>
        <color theme="1"/>
        <rFont val="Arial"/>
        <family val="2"/>
      </rPr>
      <t>Volume Low</t>
    </r>
    <phoneticPr fontId="31" type="noConversion"/>
  </si>
  <si>
    <r>
      <rPr>
        <sz val="10"/>
        <color theme="0" tint="-0.249977111117893"/>
        <rFont val="Arial"/>
        <family val="2"/>
      </rPr>
      <t>DBS720 - Sounder base,</t>
    </r>
    <r>
      <rPr>
        <sz val="10"/>
        <rFont val="Arial"/>
        <family val="2"/>
      </rPr>
      <t xml:space="preserve"> </t>
    </r>
    <r>
      <rPr>
        <b/>
        <sz val="10"/>
        <rFont val="Arial"/>
        <family val="2"/>
      </rPr>
      <t>Volume Medium</t>
    </r>
    <phoneticPr fontId="31" type="noConversion"/>
  </si>
  <si>
    <r>
      <t xml:space="preserve">DBS720 - </t>
    </r>
    <r>
      <rPr>
        <sz val="10"/>
        <rFont val="Arial"/>
        <family val="2"/>
      </rPr>
      <t xml:space="preserve">Sounder base, </t>
    </r>
    <r>
      <rPr>
        <b/>
        <sz val="10"/>
        <rFont val="Arial"/>
        <family val="2"/>
      </rPr>
      <t>Volume High</t>
    </r>
    <phoneticPr fontId="31" type="noConversion"/>
  </si>
  <si>
    <r>
      <rPr>
        <b/>
        <sz val="10"/>
        <color theme="1"/>
        <rFont val="Arial"/>
        <family val="2"/>
      </rPr>
      <t>DBS721</t>
    </r>
    <r>
      <rPr>
        <sz val="10"/>
        <color theme="1"/>
        <rFont val="Arial"/>
        <family val="2"/>
      </rPr>
      <t xml:space="preserve"> - Sounder interbase, </t>
    </r>
    <r>
      <rPr>
        <b/>
        <sz val="10"/>
        <color theme="1"/>
        <rFont val="Arial"/>
        <family val="2"/>
      </rPr>
      <t>Volume High</t>
    </r>
    <phoneticPr fontId="31" type="noConversion"/>
  </si>
  <si>
    <r>
      <rPr>
        <b/>
        <sz val="10"/>
        <color theme="0" tint="-0.249977111117893"/>
        <rFont val="Arial"/>
        <family val="2"/>
      </rPr>
      <t>DBS721</t>
    </r>
    <r>
      <rPr>
        <sz val="10"/>
        <color theme="0" tint="-0.249977111117893"/>
        <rFont val="Arial"/>
        <family val="2"/>
      </rPr>
      <t xml:space="preserve"> - Sounder interbase,</t>
    </r>
    <r>
      <rPr>
        <sz val="10"/>
        <color theme="1"/>
        <rFont val="Arial"/>
        <family val="2"/>
      </rPr>
      <t xml:space="preserve"> </t>
    </r>
    <r>
      <rPr>
        <b/>
        <sz val="10"/>
        <color theme="1"/>
        <rFont val="Arial"/>
        <family val="2"/>
      </rPr>
      <t>Volume Medium</t>
    </r>
    <phoneticPr fontId="31" type="noConversion"/>
  </si>
  <si>
    <r>
      <rPr>
        <b/>
        <sz val="10"/>
        <color theme="0" tint="-0.249977111117893"/>
        <rFont val="Arial"/>
        <family val="2"/>
      </rPr>
      <t>DBS721</t>
    </r>
    <r>
      <rPr>
        <sz val="10"/>
        <color theme="0" tint="-0.249977111117893"/>
        <rFont val="Arial"/>
        <family val="2"/>
      </rPr>
      <t xml:space="preserve"> - Sounder interbase,</t>
    </r>
    <r>
      <rPr>
        <sz val="10"/>
        <rFont val="Arial"/>
        <family val="2"/>
      </rPr>
      <t xml:space="preserve"> </t>
    </r>
    <r>
      <rPr>
        <b/>
        <sz val="10"/>
        <rFont val="Arial"/>
        <family val="2"/>
      </rPr>
      <t>Volume Low</t>
    </r>
    <phoneticPr fontId="31" type="noConversion"/>
  </si>
  <si>
    <r>
      <rPr>
        <b/>
        <sz val="10"/>
        <color theme="1"/>
        <rFont val="Arial"/>
        <family val="2"/>
      </rPr>
      <t>FDS224-R, FDS224-W</t>
    </r>
    <r>
      <rPr>
        <sz val="10"/>
        <color theme="1"/>
        <rFont val="Arial"/>
        <family val="2"/>
      </rPr>
      <t xml:space="preserve"> - Sounder red or white housing, </t>
    </r>
    <r>
      <rPr>
        <b/>
        <sz val="10"/>
        <color theme="1"/>
        <rFont val="Arial"/>
        <family val="2"/>
      </rPr>
      <t>Volume High</t>
    </r>
    <phoneticPr fontId="31" type="noConversion"/>
  </si>
  <si>
    <r>
      <rPr>
        <b/>
        <sz val="10"/>
        <color theme="0" tint="-0.249977111117893"/>
        <rFont val="Arial"/>
        <family val="2"/>
      </rPr>
      <t>FDS224-R, FDS224-W</t>
    </r>
    <r>
      <rPr>
        <sz val="10"/>
        <color theme="0" tint="-0.249977111117893"/>
        <rFont val="Arial"/>
        <family val="2"/>
      </rPr>
      <t xml:space="preserve"> - Sounder red or white housing,</t>
    </r>
    <r>
      <rPr>
        <sz val="10"/>
        <color theme="1"/>
        <rFont val="Arial"/>
        <family val="2"/>
      </rPr>
      <t xml:space="preserve"> </t>
    </r>
    <r>
      <rPr>
        <b/>
        <sz val="10"/>
        <color theme="1"/>
        <rFont val="Arial"/>
        <family val="2"/>
      </rPr>
      <t>Volume Medium</t>
    </r>
    <phoneticPr fontId="31" type="noConversion"/>
  </si>
  <si>
    <r>
      <rPr>
        <b/>
        <sz val="10"/>
        <color theme="0" tint="-0.249977111117893"/>
        <rFont val="Arial"/>
        <family val="2"/>
      </rPr>
      <t>FDS224-R, FDS224-W</t>
    </r>
    <r>
      <rPr>
        <sz val="10"/>
        <color theme="0" tint="-0.249977111117893"/>
        <rFont val="Arial"/>
        <family val="2"/>
      </rPr>
      <t xml:space="preserve"> - Sounder red or white housing,</t>
    </r>
    <r>
      <rPr>
        <sz val="10"/>
        <rFont val="Arial"/>
        <family val="2"/>
      </rPr>
      <t xml:space="preserve"> </t>
    </r>
    <r>
      <rPr>
        <b/>
        <sz val="10"/>
        <rFont val="Arial"/>
        <family val="2"/>
      </rPr>
      <t>Volume Low</t>
    </r>
    <phoneticPr fontId="31" type="noConversion"/>
  </si>
  <si>
    <r>
      <rPr>
        <b/>
        <sz val="10"/>
        <color theme="1"/>
        <rFont val="Arial"/>
        <family val="2"/>
      </rPr>
      <t>FDS225-R, FDS225-W</t>
    </r>
    <r>
      <rPr>
        <sz val="10"/>
        <color theme="1"/>
        <rFont val="Arial"/>
        <family val="2"/>
      </rPr>
      <t xml:space="preserve"> - Voice sounder red or white housing, </t>
    </r>
    <r>
      <rPr>
        <b/>
        <sz val="10"/>
        <color theme="1"/>
        <rFont val="Arial"/>
        <family val="2"/>
      </rPr>
      <t>Volume High</t>
    </r>
    <phoneticPr fontId="31" type="noConversion"/>
  </si>
  <si>
    <r>
      <rPr>
        <b/>
        <sz val="10"/>
        <color theme="0" tint="-0.249977111117893"/>
        <rFont val="Arial"/>
        <family val="2"/>
      </rPr>
      <t>FDS225-R, FDS225-W</t>
    </r>
    <r>
      <rPr>
        <sz val="10"/>
        <color theme="0" tint="-0.249977111117893"/>
        <rFont val="Arial"/>
        <family val="2"/>
      </rPr>
      <t xml:space="preserve"> - Voice sounder red or white housing,</t>
    </r>
    <r>
      <rPr>
        <sz val="10"/>
        <color theme="1"/>
        <rFont val="Arial"/>
        <family val="2"/>
      </rPr>
      <t xml:space="preserve"> </t>
    </r>
    <r>
      <rPr>
        <b/>
        <sz val="10"/>
        <color theme="1"/>
        <rFont val="Arial"/>
        <family val="2"/>
      </rPr>
      <t>Volume Medium</t>
    </r>
    <phoneticPr fontId="31" type="noConversion"/>
  </si>
  <si>
    <r>
      <rPr>
        <b/>
        <sz val="10"/>
        <color theme="0" tint="-0.249977111117893"/>
        <rFont val="Arial"/>
        <family val="2"/>
      </rPr>
      <t>FDS225-R, FDS225-W</t>
    </r>
    <r>
      <rPr>
        <sz val="10"/>
        <color theme="0" tint="-0.249977111117893"/>
        <rFont val="Arial"/>
        <family val="2"/>
      </rPr>
      <t xml:space="preserve"> - Voice sounder red or white housing,</t>
    </r>
    <r>
      <rPr>
        <sz val="10"/>
        <color theme="1"/>
        <rFont val="Arial"/>
        <family val="2"/>
      </rPr>
      <t xml:space="preserve"> </t>
    </r>
    <r>
      <rPr>
        <b/>
        <sz val="10"/>
        <color theme="1"/>
        <rFont val="Arial"/>
        <family val="2"/>
      </rPr>
      <t>Volume Low</t>
    </r>
    <phoneticPr fontId="31" type="noConversion"/>
  </si>
  <si>
    <r>
      <rPr>
        <b/>
        <sz val="10"/>
        <color theme="1"/>
        <rFont val="Arial"/>
        <family val="2"/>
      </rPr>
      <t>FDS226, FDS227</t>
    </r>
    <r>
      <rPr>
        <sz val="10"/>
        <color theme="1"/>
        <rFont val="Arial"/>
        <family val="2"/>
      </rPr>
      <t xml:space="preserve"> - Sounder used without beacon functionality, </t>
    </r>
    <r>
      <rPr>
        <b/>
        <sz val="10"/>
        <color theme="1"/>
        <rFont val="Arial"/>
        <family val="2"/>
      </rPr>
      <t>Volume High</t>
    </r>
    <phoneticPr fontId="31" type="noConversion"/>
  </si>
  <si>
    <r>
      <rPr>
        <b/>
        <sz val="10"/>
        <color theme="0" tint="-0.249977111117893"/>
        <rFont val="Arial"/>
        <family val="2"/>
      </rPr>
      <t>FDS226, FDS227</t>
    </r>
    <r>
      <rPr>
        <sz val="10"/>
        <color theme="0" tint="-0.249977111117893"/>
        <rFont val="Arial"/>
        <family val="2"/>
      </rPr>
      <t xml:space="preserve"> - Sounder used without beacon functionality,</t>
    </r>
    <r>
      <rPr>
        <sz val="10"/>
        <color theme="1"/>
        <rFont val="Arial"/>
        <family val="2"/>
      </rPr>
      <t xml:space="preserve"> </t>
    </r>
    <r>
      <rPr>
        <b/>
        <sz val="10"/>
        <color theme="1"/>
        <rFont val="Arial"/>
        <family val="2"/>
      </rPr>
      <t>Volume Medium</t>
    </r>
    <phoneticPr fontId="31" type="noConversion"/>
  </si>
  <si>
    <r>
      <rPr>
        <b/>
        <sz val="10"/>
        <color theme="0" tint="-0.249977111117893"/>
        <rFont val="Arial"/>
        <family val="2"/>
      </rPr>
      <t>FDS226, FDS227</t>
    </r>
    <r>
      <rPr>
        <sz val="10"/>
        <color theme="0" tint="-0.249977111117893"/>
        <rFont val="Arial"/>
        <family val="2"/>
      </rPr>
      <t xml:space="preserve"> - Sounder used without beacon functionality, </t>
    </r>
    <r>
      <rPr>
        <b/>
        <sz val="10"/>
        <color theme="1"/>
        <rFont val="Arial"/>
        <family val="2"/>
      </rPr>
      <t>Volume Low</t>
    </r>
    <phoneticPr fontId="31" type="noConversion"/>
  </si>
  <si>
    <r>
      <rPr>
        <b/>
        <sz val="10"/>
        <rFont val="Arial"/>
        <family val="2"/>
      </rPr>
      <t>FDS229-A, FDS229-R</t>
    </r>
    <r>
      <rPr>
        <sz val="10"/>
        <rFont val="Arial"/>
        <family val="2"/>
      </rPr>
      <t xml:space="preserve"> - Alarm sounder and beacon, amber or red, </t>
    </r>
    <r>
      <rPr>
        <b/>
        <sz val="10"/>
        <rFont val="Arial"/>
        <family val="2"/>
      </rPr>
      <t>Light and Volume High</t>
    </r>
    <phoneticPr fontId="31" type="noConversion"/>
  </si>
  <si>
    <r>
      <rPr>
        <b/>
        <sz val="10"/>
        <rFont val="Arial"/>
        <family val="2"/>
      </rPr>
      <t>FDS226</t>
    </r>
    <r>
      <rPr>
        <sz val="10"/>
        <rFont val="Arial"/>
        <family val="2"/>
      </rPr>
      <t xml:space="preserve"> - Sounder beacon, </t>
    </r>
    <r>
      <rPr>
        <b/>
        <sz val="10"/>
        <rFont val="Arial"/>
        <family val="2"/>
      </rPr>
      <t>Red Light, High Intensity</t>
    </r>
    <phoneticPr fontId="31" type="noConversion"/>
  </si>
  <si>
    <r>
      <rPr>
        <b/>
        <sz val="10"/>
        <color theme="0" tint="-0.249977111117893"/>
        <rFont val="Arial"/>
        <family val="2"/>
      </rPr>
      <t>FDS226</t>
    </r>
    <r>
      <rPr>
        <sz val="10"/>
        <color theme="0" tint="-0.249977111117893"/>
        <rFont val="Arial"/>
        <family val="2"/>
      </rPr>
      <t xml:space="preserve"> - Sounder beacon,</t>
    </r>
    <r>
      <rPr>
        <b/>
        <sz val="10"/>
        <color theme="0" tint="-0.249977111117893"/>
        <rFont val="Arial"/>
        <family val="2"/>
      </rPr>
      <t xml:space="preserve"> </t>
    </r>
    <r>
      <rPr>
        <b/>
        <sz val="10"/>
        <rFont val="Arial"/>
        <family val="2"/>
      </rPr>
      <t>Red Light, Medium Intensity</t>
    </r>
    <phoneticPr fontId="31" type="noConversion"/>
  </si>
  <si>
    <r>
      <rPr>
        <b/>
        <sz val="10"/>
        <color theme="0" tint="-0.249977111117893"/>
        <rFont val="Arial"/>
        <family val="2"/>
      </rPr>
      <t>FDS226</t>
    </r>
    <r>
      <rPr>
        <sz val="10"/>
        <color theme="0" tint="-0.249977111117893"/>
        <rFont val="Arial"/>
        <family val="2"/>
      </rPr>
      <t xml:space="preserve"> - Sounder beacon,</t>
    </r>
    <r>
      <rPr>
        <b/>
        <sz val="10"/>
        <rFont val="Arial"/>
        <family val="2"/>
      </rPr>
      <t xml:space="preserve"> Red Light, Low Intensity</t>
    </r>
    <phoneticPr fontId="31" type="noConversion"/>
  </si>
  <si>
    <r>
      <rPr>
        <b/>
        <sz val="10"/>
        <color theme="0" tint="-0.249977111117893"/>
        <rFont val="Arial"/>
        <family val="2"/>
      </rPr>
      <t>FDS226</t>
    </r>
    <r>
      <rPr>
        <sz val="10"/>
        <color theme="0" tint="-0.249977111117893"/>
        <rFont val="Arial"/>
        <family val="2"/>
      </rPr>
      <t xml:space="preserve"> - Sounder beacon,</t>
    </r>
    <r>
      <rPr>
        <sz val="10"/>
        <rFont val="Arial"/>
        <family val="2"/>
      </rPr>
      <t xml:space="preserve"> </t>
    </r>
    <r>
      <rPr>
        <b/>
        <sz val="10"/>
        <rFont val="Arial"/>
        <family val="2"/>
      </rPr>
      <t>Red Light, Indicator Mode</t>
    </r>
    <phoneticPr fontId="31" type="noConversion"/>
  </si>
  <si>
    <r>
      <rPr>
        <b/>
        <sz val="10"/>
        <rFont val="Arial"/>
        <family val="2"/>
      </rPr>
      <t>FDS226</t>
    </r>
    <r>
      <rPr>
        <sz val="10"/>
        <rFont val="Arial"/>
        <family val="2"/>
      </rPr>
      <t xml:space="preserve"> - Sounder beacon, </t>
    </r>
    <r>
      <rPr>
        <b/>
        <sz val="10"/>
        <rFont val="Arial"/>
        <family val="2"/>
      </rPr>
      <t>White Light, High Intensity</t>
    </r>
    <phoneticPr fontId="31" type="noConversion"/>
  </si>
  <si>
    <r>
      <rPr>
        <b/>
        <sz val="10"/>
        <color theme="0" tint="-0.249977111117893"/>
        <rFont val="Arial"/>
        <family val="2"/>
      </rPr>
      <t>FDS226</t>
    </r>
    <r>
      <rPr>
        <sz val="10"/>
        <color theme="0" tint="-0.249977111117893"/>
        <rFont val="Arial"/>
        <family val="2"/>
      </rPr>
      <t xml:space="preserve"> - Sounder beacon,</t>
    </r>
    <r>
      <rPr>
        <sz val="10"/>
        <rFont val="Arial"/>
        <family val="2"/>
      </rPr>
      <t xml:space="preserve"> </t>
    </r>
    <r>
      <rPr>
        <b/>
        <sz val="10"/>
        <rFont val="Arial"/>
        <family val="2"/>
      </rPr>
      <t>White Light, Medium Intensity</t>
    </r>
    <phoneticPr fontId="31" type="noConversion"/>
  </si>
  <si>
    <r>
      <rPr>
        <b/>
        <sz val="10"/>
        <color theme="0" tint="-0.249977111117893"/>
        <rFont val="Arial"/>
        <family val="2"/>
      </rPr>
      <t>FDS226</t>
    </r>
    <r>
      <rPr>
        <sz val="10"/>
        <color theme="0" tint="-0.249977111117893"/>
        <rFont val="Arial"/>
        <family val="2"/>
      </rPr>
      <t xml:space="preserve"> - Sounder beacon,</t>
    </r>
    <r>
      <rPr>
        <sz val="10"/>
        <rFont val="Arial"/>
        <family val="2"/>
      </rPr>
      <t xml:space="preserve"> </t>
    </r>
    <r>
      <rPr>
        <b/>
        <sz val="10"/>
        <rFont val="Arial"/>
        <family val="2"/>
      </rPr>
      <t>White Light, Low Intensity</t>
    </r>
    <phoneticPr fontId="31" type="noConversion"/>
  </si>
  <si>
    <r>
      <rPr>
        <b/>
        <sz val="10"/>
        <color theme="0" tint="-0.249977111117893"/>
        <rFont val="Arial"/>
        <family val="2"/>
      </rPr>
      <t>FDS226</t>
    </r>
    <r>
      <rPr>
        <sz val="10"/>
        <color theme="0" tint="-0.249977111117893"/>
        <rFont val="Arial"/>
        <family val="2"/>
      </rPr>
      <t xml:space="preserve"> - Sounder beacon,</t>
    </r>
    <r>
      <rPr>
        <sz val="10"/>
        <rFont val="Arial"/>
        <family val="2"/>
      </rPr>
      <t xml:space="preserve"> </t>
    </r>
    <r>
      <rPr>
        <b/>
        <sz val="10"/>
        <rFont val="Arial"/>
        <family val="2"/>
      </rPr>
      <t>White Light, Indicator Mode</t>
    </r>
    <phoneticPr fontId="31" type="noConversion"/>
  </si>
  <si>
    <r>
      <rPr>
        <b/>
        <sz val="10"/>
        <rFont val="Arial"/>
        <family val="2"/>
      </rPr>
      <t>FDSB226</t>
    </r>
    <r>
      <rPr>
        <sz val="10"/>
        <rFont val="Arial"/>
        <family val="2"/>
      </rPr>
      <t xml:space="preserve"> - Sounder beacon base, </t>
    </r>
    <r>
      <rPr>
        <b/>
        <sz val="10"/>
        <rFont val="Arial"/>
        <family val="2"/>
      </rPr>
      <t>Red Light, High Intensity</t>
    </r>
    <phoneticPr fontId="31" type="noConversion"/>
  </si>
  <si>
    <r>
      <rPr>
        <b/>
        <sz val="10"/>
        <color theme="0" tint="-0.249977111117893"/>
        <rFont val="Arial"/>
        <family val="2"/>
      </rPr>
      <t>FDSB226</t>
    </r>
    <r>
      <rPr>
        <sz val="10"/>
        <color theme="0" tint="-0.249977111117893"/>
        <rFont val="Arial"/>
        <family val="2"/>
      </rPr>
      <t xml:space="preserve"> - Sounder beacon base,</t>
    </r>
    <r>
      <rPr>
        <sz val="10"/>
        <rFont val="Arial"/>
        <family val="2"/>
      </rPr>
      <t xml:space="preserve"> </t>
    </r>
    <r>
      <rPr>
        <b/>
        <sz val="10"/>
        <rFont val="Arial"/>
        <family val="2"/>
      </rPr>
      <t>Red Light, Medium Intensity</t>
    </r>
    <phoneticPr fontId="31" type="noConversion"/>
  </si>
  <si>
    <r>
      <rPr>
        <b/>
        <sz val="10"/>
        <color theme="0" tint="-0.249977111117893"/>
        <rFont val="Arial"/>
        <family val="2"/>
      </rPr>
      <t>FDSB226</t>
    </r>
    <r>
      <rPr>
        <sz val="10"/>
        <color theme="0" tint="-0.249977111117893"/>
        <rFont val="Arial"/>
        <family val="2"/>
      </rPr>
      <t xml:space="preserve"> - Sounder beacon base,</t>
    </r>
    <r>
      <rPr>
        <sz val="10"/>
        <rFont val="Arial"/>
        <family val="2"/>
      </rPr>
      <t xml:space="preserve"> </t>
    </r>
    <r>
      <rPr>
        <b/>
        <sz val="10"/>
        <rFont val="Arial"/>
        <family val="2"/>
      </rPr>
      <t>Red Light, Low Intensity</t>
    </r>
    <phoneticPr fontId="31" type="noConversion"/>
  </si>
  <si>
    <r>
      <rPr>
        <b/>
        <sz val="10"/>
        <color theme="0" tint="-0.249977111117893"/>
        <rFont val="Arial"/>
        <family val="2"/>
      </rPr>
      <t>FDSB226</t>
    </r>
    <r>
      <rPr>
        <sz val="10"/>
        <color theme="0" tint="-0.249977111117893"/>
        <rFont val="Arial"/>
        <family val="2"/>
      </rPr>
      <t xml:space="preserve"> - Sounder beacon base, </t>
    </r>
    <r>
      <rPr>
        <b/>
        <sz val="10"/>
        <rFont val="Arial"/>
        <family val="2"/>
      </rPr>
      <t>Red Light, Indicator Mode</t>
    </r>
    <phoneticPr fontId="31" type="noConversion"/>
  </si>
  <si>
    <r>
      <rPr>
        <b/>
        <sz val="10"/>
        <rFont val="Arial"/>
        <family val="2"/>
      </rPr>
      <t>FDSB226</t>
    </r>
    <r>
      <rPr>
        <sz val="10"/>
        <rFont val="Arial"/>
        <family val="2"/>
      </rPr>
      <t xml:space="preserve"> - Sounder beacon base, </t>
    </r>
    <r>
      <rPr>
        <b/>
        <sz val="10"/>
        <rFont val="Arial"/>
        <family val="2"/>
      </rPr>
      <t>White Light, High Intensity</t>
    </r>
    <phoneticPr fontId="31" type="noConversion"/>
  </si>
  <si>
    <r>
      <rPr>
        <b/>
        <sz val="10"/>
        <color theme="0" tint="-0.249977111117893"/>
        <rFont val="Arial"/>
        <family val="2"/>
      </rPr>
      <t>FDSB226</t>
    </r>
    <r>
      <rPr>
        <sz val="10"/>
        <color theme="0" tint="-0.249977111117893"/>
        <rFont val="Arial"/>
        <family val="2"/>
      </rPr>
      <t xml:space="preserve"> - Sounder beacon base,</t>
    </r>
    <r>
      <rPr>
        <sz val="10"/>
        <rFont val="Arial"/>
        <family val="2"/>
      </rPr>
      <t xml:space="preserve"> </t>
    </r>
    <r>
      <rPr>
        <b/>
        <sz val="10"/>
        <rFont val="Arial"/>
        <family val="2"/>
      </rPr>
      <t>White Light, Medium Intensity</t>
    </r>
    <phoneticPr fontId="31" type="noConversion"/>
  </si>
  <si>
    <r>
      <rPr>
        <b/>
        <sz val="10"/>
        <color theme="0" tint="-0.249977111117893"/>
        <rFont val="Arial"/>
        <family val="2"/>
      </rPr>
      <t>FDSB226</t>
    </r>
    <r>
      <rPr>
        <sz val="10"/>
        <color theme="0" tint="-0.249977111117893"/>
        <rFont val="Arial"/>
        <family val="2"/>
      </rPr>
      <t xml:space="preserve"> - Sounder beacon base, </t>
    </r>
    <r>
      <rPr>
        <b/>
        <sz val="10"/>
        <rFont val="Arial"/>
        <family val="2"/>
      </rPr>
      <t>White Light, Low Intensity</t>
    </r>
    <phoneticPr fontId="31" type="noConversion"/>
  </si>
  <si>
    <r>
      <rPr>
        <b/>
        <sz val="10"/>
        <color theme="0" tint="-0.249977111117893"/>
        <rFont val="Arial"/>
        <family val="2"/>
      </rPr>
      <t>FDSB226</t>
    </r>
    <r>
      <rPr>
        <sz val="10"/>
        <color theme="0" tint="-0.249977111117893"/>
        <rFont val="Arial"/>
        <family val="2"/>
      </rPr>
      <t xml:space="preserve"> - Sounder beacon base,</t>
    </r>
    <r>
      <rPr>
        <sz val="10"/>
        <rFont val="Arial"/>
        <family val="2"/>
      </rPr>
      <t xml:space="preserve"> </t>
    </r>
    <r>
      <rPr>
        <b/>
        <sz val="10"/>
        <rFont val="Arial"/>
        <family val="2"/>
      </rPr>
      <t>White Light, Indicator Mode</t>
    </r>
    <phoneticPr fontId="31" type="noConversion"/>
  </si>
  <si>
    <r>
      <rPr>
        <b/>
        <sz val="10"/>
        <rFont val="Arial"/>
        <family val="2"/>
      </rPr>
      <t>DBS728</t>
    </r>
    <r>
      <rPr>
        <sz val="10"/>
        <rFont val="Arial"/>
        <family val="2"/>
      </rPr>
      <t xml:space="preserve"> - Sounder beacon interbase, </t>
    </r>
    <r>
      <rPr>
        <b/>
        <sz val="10"/>
        <rFont val="Arial"/>
        <family val="2"/>
      </rPr>
      <t>Sound and Light High</t>
    </r>
    <phoneticPr fontId="31" type="noConversion"/>
  </si>
  <si>
    <r>
      <rPr>
        <b/>
        <sz val="10"/>
        <rFont val="Arial"/>
        <family val="2"/>
      </rPr>
      <t>DBS729</t>
    </r>
    <r>
      <rPr>
        <sz val="10"/>
        <rFont val="Arial"/>
        <family val="2"/>
      </rPr>
      <t xml:space="preserve"> - Sounder beacon interbase, </t>
    </r>
    <r>
      <rPr>
        <b/>
        <sz val="10"/>
        <rFont val="Arial"/>
        <family val="2"/>
      </rPr>
      <t>Sound and Light High</t>
    </r>
    <phoneticPr fontId="31" type="noConversion"/>
  </si>
  <si>
    <r>
      <rPr>
        <b/>
        <sz val="10"/>
        <rFont val="Arial"/>
        <family val="2"/>
      </rPr>
      <t>FDS366-RR</t>
    </r>
    <r>
      <rPr>
        <sz val="10"/>
        <rFont val="Arial"/>
        <family val="2"/>
      </rPr>
      <t xml:space="preserve"> Sounder used with beacon functionality, </t>
    </r>
    <r>
      <rPr>
        <b/>
        <sz val="10"/>
        <rFont val="Arial"/>
        <family val="2"/>
      </rPr>
      <t>Red Light, Medium Intensity</t>
    </r>
    <phoneticPr fontId="31" type="noConversion"/>
  </si>
  <si>
    <r>
      <rPr>
        <b/>
        <sz val="10"/>
        <color theme="0" tint="-0.249977111117893"/>
        <rFont val="Arial"/>
        <family val="2"/>
      </rPr>
      <t>FDS366-RR</t>
    </r>
    <r>
      <rPr>
        <sz val="10"/>
        <color theme="0" tint="-0.249977111117893"/>
        <rFont val="Arial"/>
        <family val="2"/>
      </rPr>
      <t xml:space="preserve"> Sounder used with beacon functionality, </t>
    </r>
    <r>
      <rPr>
        <b/>
        <sz val="10"/>
        <rFont val="Arial"/>
        <family val="2"/>
      </rPr>
      <t>Red Light Indicator Mode</t>
    </r>
    <phoneticPr fontId="31" type="noConversion"/>
  </si>
  <si>
    <r>
      <rPr>
        <b/>
        <sz val="10"/>
        <rFont val="Arial"/>
        <family val="2"/>
      </rPr>
      <t>FDS366-RW</t>
    </r>
    <r>
      <rPr>
        <sz val="10"/>
        <rFont val="Arial"/>
        <family val="2"/>
      </rPr>
      <t xml:space="preserve"> Sounder used with beacon functionality, </t>
    </r>
    <r>
      <rPr>
        <b/>
        <sz val="10"/>
        <rFont val="Arial"/>
        <family val="2"/>
      </rPr>
      <t>White Light, Medium Intensity</t>
    </r>
    <phoneticPr fontId="31" type="noConversion"/>
  </si>
  <si>
    <r>
      <rPr>
        <b/>
        <sz val="10"/>
        <color theme="0" tint="-0.249977111117893"/>
        <rFont val="Arial"/>
        <family val="2"/>
      </rPr>
      <t>FDS366-RW</t>
    </r>
    <r>
      <rPr>
        <sz val="10"/>
        <color theme="0" tint="-0.249977111117893"/>
        <rFont val="Arial"/>
        <family val="2"/>
      </rPr>
      <t xml:space="preserve"> Sounder used with beacon functionality,</t>
    </r>
    <r>
      <rPr>
        <sz val="10"/>
        <rFont val="Arial"/>
        <family val="2"/>
      </rPr>
      <t xml:space="preserve"> </t>
    </r>
    <r>
      <rPr>
        <b/>
        <sz val="10"/>
        <rFont val="Arial"/>
        <family val="2"/>
      </rPr>
      <t>White Light Indicator Mode</t>
    </r>
    <phoneticPr fontId="31" type="noConversion"/>
  </si>
  <si>
    <r>
      <rPr>
        <b/>
        <sz val="10"/>
        <rFont val="Arial"/>
        <family val="2"/>
      </rPr>
      <t>FDS366-WR</t>
    </r>
    <r>
      <rPr>
        <sz val="10"/>
        <rFont val="Arial"/>
        <family val="2"/>
      </rPr>
      <t xml:space="preserve"> Sounder used with beacon functionality, </t>
    </r>
    <r>
      <rPr>
        <b/>
        <sz val="10"/>
        <rFont val="Arial"/>
        <family val="2"/>
      </rPr>
      <t>Red Light, Medium Intensity</t>
    </r>
    <phoneticPr fontId="31" type="noConversion"/>
  </si>
  <si>
    <r>
      <rPr>
        <b/>
        <sz val="10"/>
        <color theme="0" tint="-0.249977111117893"/>
        <rFont val="Arial"/>
        <family val="2"/>
      </rPr>
      <t>FDS366-WR</t>
    </r>
    <r>
      <rPr>
        <sz val="10"/>
        <color theme="0" tint="-0.249977111117893"/>
        <rFont val="Arial"/>
        <family val="2"/>
      </rPr>
      <t xml:space="preserve"> Sounder used with beacon functionality,</t>
    </r>
    <r>
      <rPr>
        <sz val="10"/>
        <rFont val="Arial"/>
        <family val="2"/>
      </rPr>
      <t xml:space="preserve"> </t>
    </r>
    <r>
      <rPr>
        <b/>
        <sz val="10"/>
        <rFont val="Arial"/>
        <family val="2"/>
      </rPr>
      <t>Red Light Indicator Mode</t>
    </r>
    <phoneticPr fontId="31" type="noConversion"/>
  </si>
  <si>
    <r>
      <rPr>
        <b/>
        <sz val="10"/>
        <rFont val="Arial"/>
        <family val="2"/>
      </rPr>
      <t>FDS366-WW</t>
    </r>
    <r>
      <rPr>
        <sz val="10"/>
        <rFont val="Arial"/>
        <family val="2"/>
      </rPr>
      <t xml:space="preserve"> Sounder used with beacon functionality, </t>
    </r>
    <r>
      <rPr>
        <b/>
        <sz val="10"/>
        <rFont val="Arial"/>
        <family val="2"/>
      </rPr>
      <t>White Light, Medium Intensity</t>
    </r>
    <phoneticPr fontId="31" type="noConversion"/>
  </si>
  <si>
    <r>
      <rPr>
        <b/>
        <sz val="10"/>
        <color theme="0" tint="-0.249977111117893"/>
        <rFont val="Arial"/>
        <family val="2"/>
      </rPr>
      <t>FDS366-WW</t>
    </r>
    <r>
      <rPr>
        <sz val="10"/>
        <color theme="0" tint="-0.249977111117893"/>
        <rFont val="Arial"/>
        <family val="2"/>
      </rPr>
      <t xml:space="preserve"> Sounder used with beacon functionality,</t>
    </r>
    <r>
      <rPr>
        <sz val="10"/>
        <rFont val="Arial"/>
        <family val="2"/>
      </rPr>
      <t xml:space="preserve"> </t>
    </r>
    <r>
      <rPr>
        <b/>
        <sz val="10"/>
        <rFont val="Arial"/>
        <family val="2"/>
      </rPr>
      <t>White Light Indicator Mode</t>
    </r>
    <phoneticPr fontId="31" type="noConversion"/>
  </si>
  <si>
    <r>
      <rPr>
        <b/>
        <sz val="10"/>
        <rFont val="Arial"/>
        <family val="2"/>
      </rPr>
      <t>FDS227</t>
    </r>
    <r>
      <rPr>
        <sz val="10"/>
        <rFont val="Arial"/>
        <family val="2"/>
      </rPr>
      <t xml:space="preserve"> - Voice sounder beacon, </t>
    </r>
    <r>
      <rPr>
        <b/>
        <sz val="10"/>
        <rFont val="Arial"/>
        <family val="2"/>
      </rPr>
      <t>Red Light, High Intensity</t>
    </r>
    <phoneticPr fontId="31" type="noConversion"/>
  </si>
  <si>
    <r>
      <rPr>
        <b/>
        <sz val="10"/>
        <color theme="0" tint="-0.249977111117893"/>
        <rFont val="Arial"/>
        <family val="2"/>
      </rPr>
      <t>FDS227</t>
    </r>
    <r>
      <rPr>
        <sz val="10"/>
        <color theme="0" tint="-0.249977111117893"/>
        <rFont val="Arial"/>
        <family val="2"/>
      </rPr>
      <t xml:space="preserve"> - Voice sounder beacon,</t>
    </r>
    <r>
      <rPr>
        <sz val="10"/>
        <rFont val="Arial"/>
        <family val="2"/>
      </rPr>
      <t xml:space="preserve"> </t>
    </r>
    <r>
      <rPr>
        <b/>
        <sz val="10"/>
        <rFont val="Arial"/>
        <family val="2"/>
      </rPr>
      <t>Red Light, Medium Intensity</t>
    </r>
    <phoneticPr fontId="31" type="noConversion"/>
  </si>
  <si>
    <r>
      <rPr>
        <b/>
        <sz val="10"/>
        <color theme="0" tint="-0.249977111117893"/>
        <rFont val="Arial"/>
        <family val="2"/>
      </rPr>
      <t>FDS227</t>
    </r>
    <r>
      <rPr>
        <sz val="10"/>
        <color theme="0" tint="-0.249977111117893"/>
        <rFont val="Arial"/>
        <family val="2"/>
      </rPr>
      <t xml:space="preserve"> - Voice sounder beacon,</t>
    </r>
    <r>
      <rPr>
        <sz val="10"/>
        <rFont val="Arial"/>
        <family val="2"/>
      </rPr>
      <t xml:space="preserve"> </t>
    </r>
    <r>
      <rPr>
        <b/>
        <sz val="10"/>
        <rFont val="Arial"/>
        <family val="2"/>
      </rPr>
      <t>Red Light, Low Intensity</t>
    </r>
    <phoneticPr fontId="31" type="noConversion"/>
  </si>
  <si>
    <r>
      <rPr>
        <b/>
        <sz val="10"/>
        <color theme="0" tint="-0.249977111117893"/>
        <rFont val="Arial"/>
        <family val="2"/>
      </rPr>
      <t>FDS227</t>
    </r>
    <r>
      <rPr>
        <sz val="10"/>
        <color theme="0" tint="-0.249977111117893"/>
        <rFont val="Arial"/>
        <family val="2"/>
      </rPr>
      <t xml:space="preserve"> - Voice sounder beacon,</t>
    </r>
    <r>
      <rPr>
        <sz val="10"/>
        <rFont val="Arial"/>
        <family val="2"/>
      </rPr>
      <t xml:space="preserve"> </t>
    </r>
    <r>
      <rPr>
        <b/>
        <sz val="10"/>
        <rFont val="Arial"/>
        <family val="2"/>
      </rPr>
      <t>Red Light, Indicator Mode</t>
    </r>
    <phoneticPr fontId="31" type="noConversion"/>
  </si>
  <si>
    <r>
      <rPr>
        <b/>
        <sz val="10"/>
        <rFont val="Arial"/>
        <family val="2"/>
      </rPr>
      <t>FDS227</t>
    </r>
    <r>
      <rPr>
        <sz val="10"/>
        <rFont val="Arial"/>
        <family val="2"/>
      </rPr>
      <t xml:space="preserve"> - Voice sounder beacon, </t>
    </r>
    <r>
      <rPr>
        <b/>
        <sz val="10"/>
        <rFont val="Arial"/>
        <family val="2"/>
      </rPr>
      <t>White Light, High Intensity</t>
    </r>
    <phoneticPr fontId="31" type="noConversion"/>
  </si>
  <si>
    <r>
      <rPr>
        <b/>
        <sz val="10"/>
        <color theme="0" tint="-0.249977111117893"/>
        <rFont val="Arial"/>
        <family val="2"/>
      </rPr>
      <t>FDS227</t>
    </r>
    <r>
      <rPr>
        <sz val="10"/>
        <color theme="0" tint="-0.249977111117893"/>
        <rFont val="Arial"/>
        <family val="2"/>
      </rPr>
      <t xml:space="preserve"> - Voice sounder beacon,</t>
    </r>
    <r>
      <rPr>
        <sz val="10"/>
        <rFont val="Arial"/>
        <family val="2"/>
      </rPr>
      <t xml:space="preserve"> </t>
    </r>
    <r>
      <rPr>
        <b/>
        <sz val="10"/>
        <rFont val="Arial"/>
        <family val="2"/>
      </rPr>
      <t>White Light, Medium Intensity</t>
    </r>
    <phoneticPr fontId="31" type="noConversion"/>
  </si>
  <si>
    <r>
      <rPr>
        <b/>
        <sz val="10"/>
        <color theme="0" tint="-0.249977111117893"/>
        <rFont val="Arial"/>
        <family val="2"/>
      </rPr>
      <t>FDS227</t>
    </r>
    <r>
      <rPr>
        <sz val="10"/>
        <color theme="0" tint="-0.249977111117893"/>
        <rFont val="Arial"/>
        <family val="2"/>
      </rPr>
      <t xml:space="preserve"> - Voice sounder beacon,</t>
    </r>
    <r>
      <rPr>
        <sz val="10"/>
        <rFont val="Arial"/>
        <family val="2"/>
      </rPr>
      <t xml:space="preserve"> </t>
    </r>
    <r>
      <rPr>
        <b/>
        <sz val="10"/>
        <rFont val="Arial"/>
        <family val="2"/>
      </rPr>
      <t>White Light, Low Intensity</t>
    </r>
    <phoneticPr fontId="31" type="noConversion"/>
  </si>
  <si>
    <r>
      <rPr>
        <b/>
        <sz val="10"/>
        <color theme="0" tint="-0.249977111117893"/>
        <rFont val="Arial"/>
        <family val="2"/>
      </rPr>
      <t>FDS227</t>
    </r>
    <r>
      <rPr>
        <sz val="10"/>
        <color theme="0" tint="-0.249977111117893"/>
        <rFont val="Arial"/>
        <family val="2"/>
      </rPr>
      <t xml:space="preserve"> - Voice sounder beacon,</t>
    </r>
    <r>
      <rPr>
        <sz val="10"/>
        <rFont val="Arial"/>
        <family val="2"/>
      </rPr>
      <t xml:space="preserve"> </t>
    </r>
    <r>
      <rPr>
        <b/>
        <sz val="10"/>
        <rFont val="Arial"/>
        <family val="2"/>
      </rPr>
      <t>White Light, Indicator Mode</t>
    </r>
    <phoneticPr fontId="31" type="noConversion"/>
  </si>
  <si>
    <r>
      <rPr>
        <b/>
        <sz val="10"/>
        <rFont val="Arial"/>
        <family val="2"/>
      </rPr>
      <t>FDSB227</t>
    </r>
    <r>
      <rPr>
        <sz val="10"/>
        <rFont val="Arial"/>
        <family val="2"/>
      </rPr>
      <t xml:space="preserve"> - Voice sounder beacon base, </t>
    </r>
    <r>
      <rPr>
        <b/>
        <sz val="10"/>
        <rFont val="Arial"/>
        <family val="2"/>
      </rPr>
      <t>Red Light, High Intensity</t>
    </r>
    <phoneticPr fontId="31" type="noConversion"/>
  </si>
  <si>
    <r>
      <rPr>
        <b/>
        <sz val="10"/>
        <color theme="0" tint="-0.249977111117893"/>
        <rFont val="Arial"/>
        <family val="2"/>
      </rPr>
      <t>FDSB227</t>
    </r>
    <r>
      <rPr>
        <sz val="10"/>
        <color theme="0" tint="-0.249977111117893"/>
        <rFont val="Arial"/>
        <family val="2"/>
      </rPr>
      <t xml:space="preserve"> - Voice sounder beacon base,</t>
    </r>
    <r>
      <rPr>
        <sz val="10"/>
        <rFont val="Arial"/>
        <family val="2"/>
      </rPr>
      <t xml:space="preserve"> </t>
    </r>
    <r>
      <rPr>
        <b/>
        <sz val="10"/>
        <rFont val="Arial"/>
        <family val="2"/>
      </rPr>
      <t>Red Light, Medium Intensity</t>
    </r>
    <phoneticPr fontId="31" type="noConversion"/>
  </si>
  <si>
    <r>
      <rPr>
        <b/>
        <sz val="10"/>
        <color theme="0" tint="-0.249977111117893"/>
        <rFont val="Arial"/>
        <family val="2"/>
      </rPr>
      <t>FDSB227</t>
    </r>
    <r>
      <rPr>
        <sz val="10"/>
        <color theme="0" tint="-0.249977111117893"/>
        <rFont val="Arial"/>
        <family val="2"/>
      </rPr>
      <t xml:space="preserve"> - Voice sounder beacon base,</t>
    </r>
    <r>
      <rPr>
        <sz val="10"/>
        <rFont val="Arial"/>
        <family val="2"/>
      </rPr>
      <t xml:space="preserve"> </t>
    </r>
    <r>
      <rPr>
        <b/>
        <sz val="10"/>
        <rFont val="Arial"/>
        <family val="2"/>
      </rPr>
      <t>Red Light, Low Intensity</t>
    </r>
    <phoneticPr fontId="31" type="noConversion"/>
  </si>
  <si>
    <r>
      <rPr>
        <b/>
        <sz val="10"/>
        <color theme="0" tint="-0.249977111117893"/>
        <rFont val="Arial"/>
        <family val="2"/>
      </rPr>
      <t>FDSB227</t>
    </r>
    <r>
      <rPr>
        <sz val="10"/>
        <color theme="0" tint="-0.249977111117893"/>
        <rFont val="Arial"/>
        <family val="2"/>
      </rPr>
      <t xml:space="preserve"> - Voice sounder beacon base,</t>
    </r>
    <r>
      <rPr>
        <sz val="10"/>
        <rFont val="Arial"/>
        <family val="2"/>
      </rPr>
      <t xml:space="preserve"> </t>
    </r>
    <r>
      <rPr>
        <b/>
        <sz val="10"/>
        <rFont val="Arial"/>
        <family val="2"/>
      </rPr>
      <t>Red Light, Indicator Mode</t>
    </r>
    <phoneticPr fontId="31" type="noConversion"/>
  </si>
  <si>
    <r>
      <rPr>
        <b/>
        <sz val="10"/>
        <rFont val="Arial"/>
        <family val="2"/>
      </rPr>
      <t>FDSB227</t>
    </r>
    <r>
      <rPr>
        <sz val="10"/>
        <rFont val="Arial"/>
        <family val="2"/>
      </rPr>
      <t xml:space="preserve"> - Voice sounder beacon base, </t>
    </r>
    <r>
      <rPr>
        <b/>
        <sz val="10"/>
        <rFont val="Arial"/>
        <family val="2"/>
      </rPr>
      <t>White Light, High Intensity</t>
    </r>
    <phoneticPr fontId="31" type="noConversion"/>
  </si>
  <si>
    <r>
      <rPr>
        <b/>
        <sz val="10"/>
        <color theme="0" tint="-0.249977111117893"/>
        <rFont val="Arial"/>
        <family val="2"/>
      </rPr>
      <t>FDSB227</t>
    </r>
    <r>
      <rPr>
        <sz val="10"/>
        <color theme="0" tint="-0.249977111117893"/>
        <rFont val="Arial"/>
        <family val="2"/>
      </rPr>
      <t xml:space="preserve"> - Voice sounder beacon base,</t>
    </r>
    <r>
      <rPr>
        <sz val="10"/>
        <rFont val="Arial"/>
        <family val="2"/>
      </rPr>
      <t xml:space="preserve"> </t>
    </r>
    <r>
      <rPr>
        <b/>
        <sz val="10"/>
        <rFont val="Arial"/>
        <family val="2"/>
      </rPr>
      <t>White Light, Medium Intensity</t>
    </r>
    <phoneticPr fontId="31" type="noConversion"/>
  </si>
  <si>
    <r>
      <rPr>
        <b/>
        <sz val="10"/>
        <color theme="0" tint="-0.249977111117893"/>
        <rFont val="Arial"/>
        <family val="2"/>
      </rPr>
      <t>FDSB227</t>
    </r>
    <r>
      <rPr>
        <sz val="10"/>
        <color theme="0" tint="-0.249977111117893"/>
        <rFont val="Arial"/>
        <family val="2"/>
      </rPr>
      <t xml:space="preserve"> - Voice sounder beacon base,</t>
    </r>
    <r>
      <rPr>
        <sz val="10"/>
        <rFont val="Arial"/>
        <family val="2"/>
      </rPr>
      <t xml:space="preserve"> </t>
    </r>
    <r>
      <rPr>
        <b/>
        <sz val="10"/>
        <rFont val="Arial"/>
        <family val="2"/>
      </rPr>
      <t>White Light, Low Intensity</t>
    </r>
    <phoneticPr fontId="31" type="noConversion"/>
  </si>
  <si>
    <r>
      <rPr>
        <b/>
        <sz val="10"/>
        <color theme="0" tint="-0.249977111117893"/>
        <rFont val="Arial"/>
        <family val="2"/>
      </rPr>
      <t>FDSB227</t>
    </r>
    <r>
      <rPr>
        <sz val="10"/>
        <color theme="0" tint="-0.249977111117893"/>
        <rFont val="Arial"/>
        <family val="2"/>
      </rPr>
      <t xml:space="preserve"> - Voice sounder beacon base,</t>
    </r>
    <r>
      <rPr>
        <sz val="10"/>
        <rFont val="Arial"/>
        <family val="2"/>
      </rPr>
      <t xml:space="preserve"> </t>
    </r>
    <r>
      <rPr>
        <b/>
        <sz val="10"/>
        <rFont val="Arial"/>
        <family val="2"/>
      </rPr>
      <t>White Light, Indicator Mode</t>
    </r>
    <phoneticPr fontId="31" type="noConversion"/>
  </si>
  <si>
    <t>Instruction of planning of FC360 fire control panel</t>
    <phoneticPr fontId="6" type="noConversion"/>
  </si>
  <si>
    <t>The project planning of an FC360 fire control panel can be performed completely with this tool.</t>
    <phoneticPr fontId="31" type="noConversion"/>
  </si>
  <si>
    <t>With the project planning of the fire control panel, loads of the fire control panel, line card and necessary batteries are verified. This results in the definite ordering.</t>
    <phoneticPr fontId="31" type="noConversion"/>
  </si>
  <si>
    <t>Panel type is 'FC361' or 'FC362'. 
For FC361, FC361-ZZ and FC361-ZA can be selected.
For FC362, FC362-ZZ and FC362-ZA can be selected.
For more information about panel types, see document A6V10421795 (http://www.siemens.com/download?A6V10421795).</t>
    <phoneticPr fontId="31" type="noConversion"/>
  </si>
  <si>
    <r>
      <rPr>
        <b/>
        <sz val="10"/>
        <rFont val="Arial"/>
        <family val="2"/>
      </rPr>
      <t>C-NET Module2</t>
    </r>
    <r>
      <rPr>
        <sz val="10"/>
        <rFont val="Arial"/>
        <family val="2"/>
      </rPr>
      <t xml:space="preserve">
Here shows the power consumed by C-NET which comes from sheet 'C-NET_Module2'. </t>
    </r>
    <phoneticPr fontId="31" type="noConversion"/>
  </si>
  <si>
    <t>Step 2. Filling outputs of mainboard</t>
    <phoneticPr fontId="31" type="noConversion"/>
  </si>
  <si>
    <t>Mainboard outputs include auxiliary power load and loads of the two sounder lines.</t>
    <phoneticPr fontId="31" type="noConversion"/>
  </si>
  <si>
    <r>
      <rPr>
        <b/>
        <sz val="10"/>
        <rFont val="Arial"/>
        <family val="2"/>
      </rPr>
      <t>Outputs of Output card (4M)</t>
    </r>
    <r>
      <rPr>
        <sz val="10"/>
        <rFont val="Arial"/>
        <family val="2"/>
      </rPr>
      <t xml:space="preserve">
If Output card (4M) is powered internally, configure 4 outputs here.</t>
    </r>
    <phoneticPr fontId="31" type="noConversion"/>
  </si>
  <si>
    <t>Each output can be configured as Fire control, RT Fault, RT Fire or Sounder line. 
Input load in quiescent condition but set value in alarm condition to 0 if an output is configured as RT Fault. Otherwise, input load in alarm condition but set value in quiescent condition to 0.</t>
    <phoneticPr fontId="31" type="noConversion"/>
  </si>
  <si>
    <t xml:space="preserve">Note that output voltage of output card is DC 26 V. </t>
    <phoneticPr fontId="31" type="noConversion"/>
  </si>
  <si>
    <r>
      <rPr>
        <b/>
        <sz val="10"/>
        <rFont val="Arial"/>
        <family val="2"/>
      </rPr>
      <t>Available batteries</t>
    </r>
    <r>
      <rPr>
        <sz val="10"/>
        <rFont val="Arial"/>
        <family val="2"/>
      </rPr>
      <t xml:space="preserve">
It's the battery which matches the panel or has a bigger capacity than required.</t>
    </r>
    <phoneticPr fontId="31" type="noConversion"/>
  </si>
  <si>
    <r>
      <rPr>
        <b/>
        <sz val="10"/>
        <rFont val="Arial"/>
        <family val="2"/>
      </rPr>
      <t>Required supply</t>
    </r>
    <r>
      <rPr>
        <sz val="10"/>
        <rFont val="Arial"/>
        <family val="2"/>
      </rPr>
      <t xml:space="preserve">
Required load of power supply by calculation. It equals required current of power supply multiplied by voltage 24 Vdc.</t>
    </r>
    <phoneticPr fontId="31" type="noConversion"/>
  </si>
  <si>
    <r>
      <t xml:space="preserve">Maximal current of power supply
</t>
    </r>
    <r>
      <rPr>
        <sz val="10"/>
        <rFont val="Arial"/>
        <family val="2"/>
      </rPr>
      <t>Required load of power supply by calculation. It equals required current of power supply multiplied by voltage DC 24 V.</t>
    </r>
    <phoneticPr fontId="31" type="noConversion"/>
  </si>
  <si>
    <t>Part 2. Planning of detection line</t>
    <phoneticPr fontId="31" type="noConversion"/>
  </si>
  <si>
    <t>Click the dropdown arrow under TRUE, select the detection line type, loop or stub. Default is 'Loop'. When ‘Stub’ is selected, two stubs are displayed.</t>
    <phoneticPr fontId="31" type="noConversion"/>
  </si>
  <si>
    <r>
      <t xml:space="preserve">Reminders:
</t>
    </r>
    <r>
      <rPr>
        <sz val="10"/>
        <rFont val="Wingdings"/>
        <charset val="2"/>
      </rPr>
      <t>o</t>
    </r>
    <r>
      <rPr>
        <sz val="10"/>
        <rFont val="Arial"/>
        <family val="2"/>
      </rPr>
      <t xml:space="preserve">  Number of FT2010 or FT2011: Max. 4 is recommended due to its heavier load.
</t>
    </r>
    <r>
      <rPr>
        <sz val="10"/>
        <rFont val="Wingdings"/>
        <charset val="2"/>
      </rPr>
      <t>o</t>
    </r>
    <r>
      <rPr>
        <sz val="10"/>
        <rFont val="Arial"/>
        <family val="2"/>
      </rPr>
      <t xml:space="preserve"> Summed number of FT2010 and FT2011 devices: Max. 4.</t>
    </r>
    <phoneticPr fontId="31" type="noConversion"/>
  </si>
  <si>
    <t>Define four parameters here: Cable length for line resistor, Cable length for line capacity, Resistance value R' of cable and Capacitance value Cs' of cable. If one specific type of cable is selected, R' and Cs' will be automatically filled out. 
Appendix A shows examples of other different cable types.</t>
    <phoneticPr fontId="31" type="noConversion"/>
  </si>
  <si>
    <r>
      <t xml:space="preserve">Cell changes to orange if,
</t>
    </r>
    <r>
      <rPr>
        <sz val="10"/>
        <rFont val="Wingdings"/>
        <charset val="2"/>
      </rPr>
      <t>o</t>
    </r>
    <r>
      <rPr>
        <sz val="10"/>
        <rFont val="Arial"/>
        <family val="2"/>
      </rPr>
      <t xml:space="preserve"> Length for line resistor is greater than 3300 m.
</t>
    </r>
    <r>
      <rPr>
        <sz val="10"/>
        <rFont val="Wingdings"/>
        <charset val="2"/>
      </rPr>
      <t>o</t>
    </r>
    <r>
      <rPr>
        <sz val="10"/>
        <rFont val="Arial"/>
        <family val="2"/>
      </rPr>
      <t xml:space="preserve"> Length for line resistor is greater than the length for line capacity.</t>
    </r>
    <phoneticPr fontId="31" type="noConversion"/>
  </si>
  <si>
    <r>
      <t xml:space="preserve">Cell changes to orange if,
</t>
    </r>
    <r>
      <rPr>
        <sz val="10"/>
        <rFont val="Wingdings"/>
        <charset val="2"/>
      </rPr>
      <t>o</t>
    </r>
    <r>
      <rPr>
        <sz val="10"/>
        <rFont val="Arial"/>
        <family val="2"/>
      </rPr>
      <t xml:space="preserve"> Length for line capacity is greater than 5000 m.
</t>
    </r>
    <r>
      <rPr>
        <sz val="10"/>
        <rFont val="Wingdings"/>
        <charset val="2"/>
      </rPr>
      <t>o</t>
    </r>
    <r>
      <rPr>
        <sz val="10"/>
        <rFont val="Arial"/>
        <family val="2"/>
      </rPr>
      <t xml:space="preserve"> Length for line resistor is greater than length for line capacity.</t>
    </r>
    <phoneticPr fontId="31" type="noConversion"/>
  </si>
  <si>
    <t>After steps 1~2, click button " Press Button to refresh calculation" on the top or bottom and the tool gives an analysis in accordance with the inputted data as follows.</t>
    <phoneticPr fontId="31" type="noConversion"/>
  </si>
  <si>
    <t xml:space="preserve">If any cell changes to red, it means overrun. </t>
    <phoneticPr fontId="31" type="noConversion"/>
  </si>
  <si>
    <r>
      <t xml:space="preserve">Maximum alarm current per Line Card
</t>
    </r>
    <r>
      <rPr>
        <sz val="10"/>
        <rFont val="Arial"/>
        <family val="2"/>
      </rPr>
      <t>The total alarm current of detective lines in alarm state on all loops and stubs</t>
    </r>
    <phoneticPr fontId="31" type="noConversion"/>
  </si>
  <si>
    <r>
      <t xml:space="preserve">Resistor load per Loop / Stub
</t>
    </r>
    <r>
      <rPr>
        <sz val="10"/>
        <rFont val="Arial"/>
        <family val="2"/>
      </rPr>
      <t>Current wire resistor based on 'Length for line resistor' and 'Resistance value R' of cable' in step 2.</t>
    </r>
    <phoneticPr fontId="31" type="noConversion"/>
  </si>
  <si>
    <r>
      <t xml:space="preserve">Cell changes to red with deviation value if,
</t>
    </r>
    <r>
      <rPr>
        <sz val="10"/>
        <rFont val="Wingdings"/>
        <charset val="2"/>
      </rPr>
      <t>o</t>
    </r>
    <r>
      <rPr>
        <sz val="10"/>
        <rFont val="Arial"/>
        <family val="2"/>
      </rPr>
      <t xml:space="preserve"> Value is less than application needs.</t>
    </r>
    <phoneticPr fontId="31" type="noConversion"/>
  </si>
  <si>
    <r>
      <t xml:space="preserve">Cable capacitive per Loop / Stub
</t>
    </r>
    <r>
      <rPr>
        <sz val="10"/>
        <rFont val="Arial"/>
        <family val="2"/>
      </rPr>
      <t>Current wire capacity based on 'Cable length for line capacity' and 'Capacitance value Cs' of cable' in step 2.</t>
    </r>
    <phoneticPr fontId="31" type="noConversion"/>
  </si>
  <si>
    <t>Planning of an FC360 Fire Control Panel</t>
    <phoneticPr fontId="6" type="noConversion"/>
  </si>
  <si>
    <t>With the project planning of the fire control panel the load of the fire control panel and the necessary batteries are verified. This results in the definite:</t>
    <phoneticPr fontId="31" type="noConversion"/>
  </si>
  <si>
    <t>… power supply is integrated in the chosen panel variant or additional supplies must be ordered.</t>
    <phoneticPr fontId="6" type="noConversion"/>
  </si>
  <si>
    <t>2.) Choose Device population topology (loop or stub)</t>
    <phoneticPr fontId="31" type="noConversion"/>
  </si>
  <si>
    <t>6.) Add start and end cable length in case of equal distribution</t>
    <phoneticPr fontId="31" type="noConversion"/>
  </si>
  <si>
    <t>FDM365-RP - Resettable MCP</t>
    <phoneticPr fontId="31" type="noConversion"/>
  </si>
  <si>
    <t>Internal</t>
    <phoneticPr fontId="31" type="noConversion"/>
  </si>
  <si>
    <r>
      <rPr>
        <b/>
        <sz val="10"/>
        <rFont val="Arial"/>
        <family val="2"/>
      </rPr>
      <t>FDS364-R, FDS364-W</t>
    </r>
    <r>
      <rPr>
        <sz val="10"/>
        <rFont val="Arial"/>
        <family val="2"/>
      </rPr>
      <t xml:space="preserve"> - Sounder red or white housing, </t>
    </r>
    <r>
      <rPr>
        <b/>
        <sz val="10"/>
        <rFont val="Arial"/>
        <family val="2"/>
      </rPr>
      <t>Volume High</t>
    </r>
  </si>
  <si>
    <t>Version 1.4</t>
  </si>
  <si>
    <t>Line card (C-NET) FCL2001-A1</t>
    <phoneticPr fontId="31" type="noConversion"/>
  </si>
  <si>
    <t>None</t>
    <phoneticPr fontId="31" type="noConversion"/>
  </si>
  <si>
    <t>0.5A</t>
    <phoneticPr fontId="31" type="noConversion"/>
  </si>
  <si>
    <t>Enter cable parameter manually</t>
    <phoneticPr fontId="31" type="noConversion"/>
  </si>
  <si>
    <t>Worst case</t>
    <phoneticPr fontId="31" type="noConversion"/>
  </si>
  <si>
    <t>Stub1_1</t>
    <phoneticPr fontId="31" type="noConversion"/>
  </si>
  <si>
    <t>Stub1_2</t>
    <phoneticPr fontId="31" type="noConversion"/>
  </si>
  <si>
    <t>Stubs</t>
    <phoneticPr fontId="31" type="noConversion"/>
  </si>
  <si>
    <t>Stub2_1</t>
    <phoneticPr fontId="31" type="noConversion"/>
  </si>
  <si>
    <t>Stub2_2</t>
    <phoneticPr fontId="31" type="noConversion"/>
  </si>
  <si>
    <t>Stub3_1</t>
    <phoneticPr fontId="31" type="noConversion"/>
  </si>
  <si>
    <t>Stub3_2</t>
    <phoneticPr fontId="31" type="noConversion"/>
  </si>
  <si>
    <t>Stub4_1</t>
    <phoneticPr fontId="31" type="noConversion"/>
  </si>
  <si>
    <t>Stub4_2</t>
    <phoneticPr fontId="31" type="noConversion"/>
  </si>
  <si>
    <r>
      <t xml:space="preserve">Alarm devices - Sound and Light (Beacon)
</t>
    </r>
    <r>
      <rPr>
        <sz val="10"/>
        <color theme="1"/>
        <rFont val="Arial"/>
        <family val="2"/>
      </rPr>
      <t>Volume settings is assumed as "high" for calculation.</t>
    </r>
  </si>
  <si>
    <r>
      <t xml:space="preserve">Alarm devices - Sound and Voice and Light (Beacon)
</t>
    </r>
    <r>
      <rPr>
        <sz val="10"/>
        <color theme="1"/>
        <rFont val="Arial"/>
        <family val="2"/>
      </rPr>
      <t>Volume settings is assumed as "high" for calculation.</t>
    </r>
  </si>
  <si>
    <t>None</t>
  </si>
  <si>
    <t>Enter cable parameter manually</t>
  </si>
  <si>
    <t>Worst case</t>
  </si>
  <si>
    <t>Loop1</t>
  </si>
  <si>
    <t>Loop</t>
  </si>
  <si>
    <t>Loop3</t>
  </si>
  <si>
    <t>Loop4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</si>
</sst>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 #,##0.00_ ;_ * \-#,##0.00_ ;_ * &quot;-&quot;??_ ;_ @_ "/>
    <numFmt numFmtId="165" formatCode="0.0"/>
    <numFmt numFmtId="166" formatCode="0.000"/>
    <numFmt numFmtId="167" formatCode="0.0000"/>
    <numFmt numFmtId="168" formatCode="\ #,##0\ &quot;nF&quot;"/>
    <numFmt numFmtId="169" formatCode="\ #,##0.000\ &quot;A&quot;"/>
    <numFmt numFmtId="170" formatCode="\ #,##0.0\ &quot;A&quot;"/>
  </numFmts>
  <fonts count="41" x14ac:knownFonts="1">
    <font>
      <sz val="10"/>
      <name val="Arial"/>
    </font>
    <font>
      <sz val="10"/>
      <name val="Arial"/>
      <family val="2"/>
    </font>
    <font>
      <b/>
      <sz val="10"/>
      <name val="Arial"/>
      <family val="2"/>
    </font>
    <font>
      <sz val="10"/>
      <name val="Arial"/>
      <family val="2"/>
    </font>
    <font>
      <b/>
      <i/>
      <sz val="10"/>
      <name val="Arial"/>
      <family val="2"/>
    </font>
    <font>
      <b/>
      <sz val="12"/>
      <name val="Arial"/>
      <family val="2"/>
    </font>
    <font>
      <sz val="8"/>
      <name val="Arial"/>
      <family val="2"/>
    </font>
    <font>
      <b/>
      <sz val="14"/>
      <name val="Arial"/>
      <family val="2"/>
    </font>
    <font>
      <b/>
      <u/>
      <sz val="14"/>
      <name val="Arial"/>
      <family val="2"/>
    </font>
    <font>
      <u/>
      <sz val="10"/>
      <name val="Arial"/>
      <family val="2"/>
    </font>
    <font>
      <strike/>
      <sz val="10"/>
      <name val="Arial"/>
      <family val="2"/>
    </font>
    <font>
      <sz val="80"/>
      <name val="Wingdings"/>
      <charset val="2"/>
    </font>
    <font>
      <sz val="10"/>
      <color indexed="10"/>
      <name val="Arial"/>
      <family val="2"/>
    </font>
    <font>
      <b/>
      <sz val="10"/>
      <color indexed="10"/>
      <name val="Arial"/>
      <family val="2"/>
    </font>
    <font>
      <i/>
      <sz val="10"/>
      <name val="Arial"/>
      <family val="2"/>
    </font>
    <font>
      <b/>
      <sz val="8"/>
      <color indexed="81"/>
      <name val="Tahoma"/>
      <family val="2"/>
    </font>
    <font>
      <sz val="8"/>
      <color indexed="81"/>
      <name val="Tahoma"/>
      <family val="2"/>
    </font>
    <font>
      <sz val="10"/>
      <color indexed="81"/>
      <name val="Tahoma"/>
      <family val="2"/>
    </font>
    <font>
      <sz val="9"/>
      <name val="Arial"/>
      <family val="2"/>
    </font>
    <font>
      <b/>
      <strike/>
      <sz val="10"/>
      <name val="Arial"/>
      <family val="2"/>
    </font>
    <font>
      <sz val="9"/>
      <color indexed="81"/>
      <name val="Tahoma"/>
      <family val="2"/>
    </font>
    <font>
      <b/>
      <sz val="9"/>
      <color indexed="81"/>
      <name val="Tahoma"/>
      <family val="2"/>
    </font>
    <font>
      <sz val="10"/>
      <color theme="1"/>
      <name val="Arial"/>
      <family val="2"/>
    </font>
    <font>
      <u/>
      <sz val="10"/>
      <color theme="10"/>
      <name val="Arial"/>
      <family val="2"/>
    </font>
    <font>
      <b/>
      <sz val="12"/>
      <color rgb="FF000000"/>
      <name val="Arial"/>
      <family val="2"/>
    </font>
    <font>
      <sz val="10"/>
      <color rgb="FF000000"/>
      <name val="Arial"/>
      <family val="2"/>
    </font>
    <font>
      <b/>
      <sz val="11"/>
      <color rgb="FF000000"/>
      <name val="Arial"/>
      <family val="2"/>
    </font>
    <font>
      <b/>
      <sz val="16"/>
      <name val="Arial"/>
      <family val="2"/>
    </font>
    <font>
      <b/>
      <i/>
      <sz val="12"/>
      <name val="Arial"/>
      <family val="2"/>
    </font>
    <font>
      <sz val="10"/>
      <name val="Wingdings"/>
      <charset val="2"/>
    </font>
    <font>
      <sz val="10"/>
      <name val="Wingdings 2"/>
      <family val="1"/>
      <charset val="2"/>
    </font>
    <font>
      <sz val="9"/>
      <name val="宋体"/>
      <family val="3"/>
      <charset val="134"/>
    </font>
    <font>
      <i/>
      <strike/>
      <sz val="10"/>
      <name val="Arial"/>
      <family val="2"/>
    </font>
    <font>
      <b/>
      <i/>
      <strike/>
      <sz val="10"/>
      <name val="Arial"/>
      <family val="2"/>
    </font>
    <font>
      <b/>
      <i/>
      <sz val="10"/>
      <color indexed="60"/>
      <name val="Arial"/>
      <family val="2"/>
    </font>
    <font>
      <sz val="48"/>
      <name val="Wingdings"/>
      <charset val="2"/>
    </font>
    <font>
      <b/>
      <i/>
      <sz val="14"/>
      <name val="Arial"/>
      <family val="2"/>
    </font>
    <font>
      <b/>
      <sz val="10"/>
      <color theme="1"/>
      <name val="Arial"/>
      <family val="2"/>
    </font>
    <font>
      <b/>
      <sz val="10"/>
      <color theme="0" tint="-0.249977111117893"/>
      <name val="Arial"/>
      <family val="2"/>
    </font>
    <font>
      <sz val="10"/>
      <color theme="0" tint="-0.249977111117893"/>
      <name val="Arial"/>
      <family val="2"/>
    </font>
    <font>
      <b/>
      <sz val="12"/>
      <color theme="0" tint="-0.249977111117893"/>
      <name val="Arial"/>
      <family val="2"/>
    </font>
  </fonts>
  <fills count="27">
    <fill>
      <patternFill patternType="none"/>
    </fill>
    <fill>
      <patternFill patternType="gray125"/>
    </fill>
    <fill>
      <patternFill patternType="solid">
        <fgColor indexed="41"/>
        <bgColor indexed="64"/>
      </patternFill>
    </fill>
    <fill>
      <patternFill patternType="solid">
        <fgColor indexed="42"/>
        <bgColor indexed="64"/>
      </patternFill>
    </fill>
    <fill>
      <patternFill patternType="solid">
        <fgColor indexed="22"/>
        <bgColor indexed="64"/>
      </patternFill>
    </fill>
    <fill>
      <patternFill patternType="solid">
        <fgColor indexed="43"/>
        <bgColor indexed="64"/>
      </patternFill>
    </fill>
    <fill>
      <patternFill patternType="solid">
        <fgColor indexed="52"/>
        <bgColor indexed="64"/>
      </patternFill>
    </fill>
    <fill>
      <patternFill patternType="solid">
        <fgColor indexed="11"/>
        <bgColor indexed="64"/>
      </patternFill>
    </fill>
    <fill>
      <patternFill patternType="solid">
        <fgColor indexed="10"/>
        <bgColor indexed="64"/>
      </patternFill>
    </fill>
    <fill>
      <patternFill patternType="solid">
        <fgColor indexed="13"/>
        <bgColor indexed="64"/>
      </patternFill>
    </fill>
    <fill>
      <patternFill patternType="solid">
        <fgColor indexed="45"/>
        <bgColor indexed="64"/>
      </patternFill>
    </fill>
    <fill>
      <patternFill patternType="solid">
        <fgColor indexed="44"/>
        <bgColor indexed="64"/>
      </patternFill>
    </fill>
    <fill>
      <patternFill patternType="solid">
        <fgColor indexed="14"/>
        <bgColor indexed="64"/>
      </patternFill>
    </fill>
    <fill>
      <patternFill patternType="solid">
        <fgColor indexed="55"/>
        <bgColor indexed="55"/>
      </patternFill>
    </fill>
    <fill>
      <patternFill patternType="solid">
        <fgColor indexed="55"/>
        <bgColor indexed="64"/>
      </patternFill>
    </fill>
    <fill>
      <patternFill patternType="solid">
        <fgColor rgb="FFFFFF00"/>
        <bgColor indexed="64"/>
      </patternFill>
    </fill>
    <fill>
      <patternFill patternType="solid">
        <fgColor theme="6" tint="-0.249977111117893"/>
        <bgColor indexed="64"/>
      </patternFill>
    </fill>
    <fill>
      <patternFill patternType="solid">
        <fgColor rgb="FFFF0000"/>
        <bgColor indexed="64"/>
      </patternFill>
    </fill>
    <fill>
      <patternFill patternType="solid">
        <fgColor rgb="FFFFFF99"/>
        <bgColor indexed="64"/>
      </patternFill>
    </fill>
    <fill>
      <patternFill patternType="solid">
        <fgColor rgb="FFFFFFFF"/>
        <bgColor indexed="64"/>
      </patternFill>
    </fill>
    <fill>
      <patternFill patternType="solid">
        <fgColor rgb="FFCCFFFF"/>
        <bgColor indexed="64"/>
      </patternFill>
    </fill>
    <fill>
      <patternFill patternType="solid">
        <fgColor rgb="FFCCFFCC"/>
        <bgColor indexed="64"/>
      </patternFill>
    </fill>
    <fill>
      <patternFill patternType="solid">
        <fgColor theme="0" tint="-0.249977111117893"/>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0" tint="-0.24994659260841701"/>
        <bgColor indexed="64"/>
      </patternFill>
    </fill>
    <fill>
      <patternFill patternType="solid">
        <fgColor rgb="FF99CCFF"/>
        <bgColor indexed="64"/>
      </patternFill>
    </fill>
  </fills>
  <borders count="72">
    <border>
      <left/>
      <right/>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medium">
        <color indexed="64"/>
      </bottom>
      <diagonal/>
    </border>
    <border>
      <left/>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style="double">
        <color indexed="10"/>
      </left>
      <right/>
      <top style="double">
        <color indexed="10"/>
      </top>
      <bottom/>
      <diagonal/>
    </border>
    <border>
      <left/>
      <right style="double">
        <color indexed="10"/>
      </right>
      <top style="double">
        <color indexed="10"/>
      </top>
      <bottom/>
      <diagonal/>
    </border>
    <border>
      <left style="double">
        <color indexed="10"/>
      </left>
      <right/>
      <top/>
      <bottom style="double">
        <color indexed="10"/>
      </bottom>
      <diagonal/>
    </border>
    <border>
      <left/>
      <right style="double">
        <color indexed="10"/>
      </right>
      <top/>
      <bottom style="double">
        <color indexed="10"/>
      </bottom>
      <diagonal/>
    </border>
    <border>
      <left/>
      <right/>
      <top style="double">
        <color indexed="10"/>
      </top>
      <bottom/>
      <diagonal/>
    </border>
    <border>
      <left style="double">
        <color indexed="10"/>
      </left>
      <right/>
      <top style="double">
        <color indexed="10"/>
      </top>
      <bottom style="double">
        <color indexed="10"/>
      </bottom>
      <diagonal/>
    </border>
    <border>
      <left/>
      <right style="double">
        <color indexed="10"/>
      </right>
      <top style="double">
        <color indexed="10"/>
      </top>
      <bottom style="double">
        <color indexed="10"/>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double">
        <color indexed="10"/>
      </bottom>
      <diagonal/>
    </border>
    <border>
      <left/>
      <right/>
      <top style="thin">
        <color indexed="64"/>
      </top>
      <bottom/>
      <diagonal/>
    </border>
    <border>
      <left/>
      <right style="thin">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thick">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s>
  <cellStyleXfs count="11">
    <xf numFmtId="0" fontId="0"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23" fillId="0" borderId="0" applyNumberFormat="0" applyFill="0" applyBorder="0" applyAlignment="0" applyProtection="0">
      <alignment vertical="top"/>
      <protection locked="0"/>
    </xf>
    <xf numFmtId="0" fontId="22" fillId="0" borderId="0"/>
    <xf numFmtId="0" fontId="3" fillId="0" borderId="0"/>
    <xf numFmtId="0" fontId="3" fillId="0" borderId="0"/>
    <xf numFmtId="0" fontId="1" fillId="0" borderId="0"/>
    <xf numFmtId="0" fontId="1" fillId="0" borderId="0"/>
    <xf numFmtId="0" fontId="1" fillId="0" borderId="0"/>
  </cellStyleXfs>
  <cellXfs count="776">
    <xf numFmtId="0" fontId="0" fillId="0" borderId="0" xfId="0"/>
    <xf numFmtId="0" fontId="1" fillId="2" borderId="0" xfId="0" applyFont="1" applyFill="1" applyBorder="1" applyAlignment="1" applyProtection="1">
      <alignment horizontal="center"/>
      <protection hidden="1"/>
    </xf>
    <xf numFmtId="0" fontId="1" fillId="2" borderId="0" xfId="0" applyFont="1" applyFill="1" applyBorder="1" applyAlignment="1" applyProtection="1">
      <alignment horizontal="right"/>
      <protection hidden="1"/>
    </xf>
    <xf numFmtId="0" fontId="1" fillId="2" borderId="0" xfId="0" quotePrefix="1" applyFont="1" applyFill="1" applyBorder="1" applyAlignment="1" applyProtection="1">
      <alignment horizontal="center"/>
      <protection hidden="1"/>
    </xf>
    <xf numFmtId="0" fontId="1" fillId="2" borderId="1" xfId="0" applyFont="1" applyFill="1" applyBorder="1" applyAlignment="1" applyProtection="1">
      <alignment horizontal="center"/>
      <protection hidden="1"/>
    </xf>
    <xf numFmtId="0" fontId="1" fillId="2" borderId="2" xfId="0" applyFont="1" applyFill="1" applyBorder="1" applyAlignment="1" applyProtection="1">
      <alignment horizontal="center"/>
      <protection hidden="1"/>
    </xf>
    <xf numFmtId="0" fontId="1" fillId="2" borderId="3" xfId="0" applyFont="1" applyFill="1" applyBorder="1" applyAlignment="1" applyProtection="1">
      <alignment horizontal="center"/>
      <protection hidden="1"/>
    </xf>
    <xf numFmtId="0" fontId="1" fillId="2" borderId="4" xfId="0" applyFont="1" applyFill="1" applyBorder="1" applyAlignment="1" applyProtection="1">
      <alignment horizontal="center"/>
      <protection hidden="1"/>
    </xf>
    <xf numFmtId="0" fontId="0" fillId="0" borderId="0" xfId="0" applyAlignment="1">
      <alignment horizontal="center"/>
    </xf>
    <xf numFmtId="0" fontId="0" fillId="0" borderId="0" xfId="0" applyBorder="1" applyAlignment="1">
      <alignment horizontal="right"/>
    </xf>
    <xf numFmtId="0" fontId="7" fillId="0" borderId="0" xfId="0" applyFont="1"/>
    <xf numFmtId="0" fontId="5" fillId="0" borderId="0" xfId="0" applyFont="1" applyAlignment="1">
      <alignment horizontal="right"/>
    </xf>
    <xf numFmtId="0" fontId="1" fillId="3" borderId="0" xfId="0" applyFont="1" applyFill="1" applyBorder="1" applyAlignment="1" applyProtection="1">
      <alignment horizontal="right"/>
      <protection hidden="1"/>
    </xf>
    <xf numFmtId="0" fontId="1" fillId="3" borderId="1" xfId="0" applyFont="1" applyFill="1" applyBorder="1" applyAlignment="1" applyProtection="1">
      <alignment horizontal="center"/>
      <protection hidden="1"/>
    </xf>
    <xf numFmtId="0" fontId="1" fillId="3" borderId="0" xfId="0" applyFont="1" applyFill="1" applyBorder="1" applyAlignment="1" applyProtection="1">
      <alignment horizontal="center"/>
      <protection hidden="1"/>
    </xf>
    <xf numFmtId="0" fontId="1" fillId="3" borderId="3" xfId="0" applyFont="1" applyFill="1" applyBorder="1" applyAlignment="1" applyProtection="1">
      <alignment horizontal="center"/>
      <protection hidden="1"/>
    </xf>
    <xf numFmtId="0" fontId="1" fillId="3" borderId="2" xfId="0" applyFont="1" applyFill="1" applyBorder="1" applyAlignment="1" applyProtection="1">
      <alignment horizontal="center"/>
      <protection hidden="1"/>
    </xf>
    <xf numFmtId="0" fontId="1" fillId="2" borderId="5" xfId="0" applyFont="1" applyFill="1" applyBorder="1" applyAlignment="1" applyProtection="1">
      <alignment horizontal="center"/>
      <protection hidden="1"/>
    </xf>
    <xf numFmtId="0" fontId="1" fillId="0" borderId="0" xfId="0" applyFont="1" applyFill="1" applyBorder="1" applyAlignment="1" applyProtection="1">
      <alignment horizontal="center"/>
      <protection hidden="1"/>
    </xf>
    <xf numFmtId="0" fontId="0" fillId="0" borderId="0" xfId="0" applyFill="1" applyBorder="1" applyAlignment="1">
      <alignment horizontal="center"/>
    </xf>
    <xf numFmtId="49" fontId="2" fillId="4" borderId="6" xfId="0" applyNumberFormat="1" applyFont="1" applyFill="1" applyBorder="1" applyAlignment="1">
      <alignment horizontal="left"/>
    </xf>
    <xf numFmtId="49" fontId="0" fillId="0" borderId="0" xfId="0" applyNumberFormat="1"/>
    <xf numFmtId="49" fontId="0" fillId="0" borderId="0" xfId="0" applyNumberFormat="1" applyAlignment="1">
      <alignment horizontal="left"/>
    </xf>
    <xf numFmtId="49" fontId="0" fillId="0" borderId="0" xfId="0" quotePrefix="1" applyNumberFormat="1" applyAlignment="1">
      <alignment horizontal="left"/>
    </xf>
    <xf numFmtId="49" fontId="0" fillId="0" borderId="0" xfId="0" applyNumberFormat="1" applyAlignment="1">
      <alignment horizontal="left" indent="1"/>
    </xf>
    <xf numFmtId="49" fontId="2" fillId="4" borderId="0" xfId="0" applyNumberFormat="1" applyFont="1" applyFill="1" applyBorder="1" applyAlignment="1">
      <alignment horizontal="left"/>
    </xf>
    <xf numFmtId="49" fontId="2" fillId="0" borderId="0" xfId="0" applyNumberFormat="1" applyFont="1" applyFill="1" applyBorder="1" applyAlignment="1">
      <alignment horizontal="left"/>
    </xf>
    <xf numFmtId="0" fontId="0" fillId="0" borderId="0" xfId="0" applyFill="1" applyAlignment="1">
      <alignment horizontal="center"/>
    </xf>
    <xf numFmtId="0" fontId="1" fillId="2" borderId="1" xfId="0" quotePrefix="1" applyFont="1" applyFill="1" applyBorder="1" applyAlignment="1" applyProtection="1">
      <alignment horizontal="center"/>
      <protection hidden="1"/>
    </xf>
    <xf numFmtId="49" fontId="4" fillId="0" borderId="0" xfId="0" applyNumberFormat="1" applyFont="1" applyAlignment="1">
      <alignment horizontal="left"/>
    </xf>
    <xf numFmtId="49" fontId="0" fillId="0" borderId="0" xfId="0" applyNumberFormat="1" applyAlignment="1">
      <alignment horizontal="left" indent="2"/>
    </xf>
    <xf numFmtId="49" fontId="0" fillId="0" borderId="0" xfId="0" applyNumberFormat="1" applyAlignment="1">
      <alignment horizontal="left" indent="3"/>
    </xf>
    <xf numFmtId="49" fontId="0" fillId="0" borderId="0" xfId="0" applyNumberFormat="1" applyFill="1" applyAlignment="1">
      <alignment horizontal="left" indent="4"/>
    </xf>
    <xf numFmtId="49" fontId="0" fillId="0" borderId="0" xfId="0" applyNumberFormat="1" applyFill="1" applyAlignment="1">
      <alignment horizontal="left" indent="6"/>
    </xf>
    <xf numFmtId="49" fontId="0" fillId="0" borderId="0" xfId="0" applyNumberFormat="1" applyFill="1" applyAlignment="1">
      <alignment horizontal="left" wrapText="1" indent="6"/>
    </xf>
    <xf numFmtId="49" fontId="0" fillId="0" borderId="0" xfId="0" quotePrefix="1" applyNumberFormat="1" applyAlignment="1">
      <alignment horizontal="left" indent="2"/>
    </xf>
    <xf numFmtId="49" fontId="0" fillId="0" borderId="0" xfId="0" quotePrefix="1" applyNumberFormat="1" applyAlignment="1">
      <alignment horizontal="left" indent="6"/>
    </xf>
    <xf numFmtId="0" fontId="0" fillId="2" borderId="0" xfId="0" applyFill="1" applyBorder="1" applyAlignment="1" applyProtection="1">
      <alignment horizontal="center"/>
      <protection hidden="1"/>
    </xf>
    <xf numFmtId="0" fontId="0" fillId="2" borderId="1" xfId="0" applyFill="1" applyBorder="1" applyAlignment="1" applyProtection="1">
      <alignment horizontal="center"/>
      <protection hidden="1"/>
    </xf>
    <xf numFmtId="0" fontId="3" fillId="2" borderId="1" xfId="0" applyFont="1" applyFill="1" applyBorder="1" applyAlignment="1" applyProtection="1">
      <alignment horizontal="center"/>
      <protection hidden="1"/>
    </xf>
    <xf numFmtId="0" fontId="1" fillId="0" borderId="0" xfId="0" applyFont="1"/>
    <xf numFmtId="0" fontId="8" fillId="0" borderId="0" xfId="9" applyFont="1" applyProtection="1">
      <protection locked="0"/>
    </xf>
    <xf numFmtId="0" fontId="1" fillId="0" borderId="0" xfId="9" applyProtection="1">
      <protection locked="0"/>
    </xf>
    <xf numFmtId="0" fontId="4" fillId="0" borderId="0" xfId="9" applyFont="1" applyProtection="1">
      <protection locked="0"/>
    </xf>
    <xf numFmtId="0" fontId="1" fillId="0" borderId="0" xfId="9" quotePrefix="1" applyAlignment="1" applyProtection="1">
      <alignment horizontal="left" indent="2"/>
      <protection locked="0"/>
    </xf>
    <xf numFmtId="0" fontId="1" fillId="0" borderId="0" xfId="9" applyAlignment="1" applyProtection="1">
      <alignment wrapText="1"/>
      <protection locked="0"/>
    </xf>
    <xf numFmtId="0" fontId="1" fillId="0" borderId="0" xfId="9" quotePrefix="1" applyAlignment="1" applyProtection="1">
      <alignment horizontal="left"/>
      <protection locked="0"/>
    </xf>
    <xf numFmtId="0" fontId="1" fillId="0" borderId="0" xfId="9" applyAlignment="1" applyProtection="1">
      <alignment horizontal="left"/>
      <protection locked="0"/>
    </xf>
    <xf numFmtId="0" fontId="1" fillId="0" borderId="0" xfId="9" quotePrefix="1" applyAlignment="1" applyProtection="1">
      <alignment horizontal="left" wrapText="1" indent="2"/>
      <protection locked="0"/>
    </xf>
    <xf numFmtId="49" fontId="1" fillId="0" borderId="0" xfId="9" applyNumberFormat="1" applyProtection="1">
      <protection locked="0"/>
    </xf>
    <xf numFmtId="0" fontId="1" fillId="0" borderId="0" xfId="9" quotePrefix="1" applyProtection="1">
      <protection locked="0"/>
    </xf>
    <xf numFmtId="0" fontId="1" fillId="5" borderId="4" xfId="9" applyFill="1" applyBorder="1" applyAlignment="1" applyProtection="1">
      <alignment horizontal="center"/>
      <protection locked="0"/>
    </xf>
    <xf numFmtId="0" fontId="2" fillId="0" borderId="0" xfId="9" applyFont="1" applyAlignment="1" applyProtection="1">
      <alignment horizontal="left" indent="1"/>
      <protection locked="0"/>
    </xf>
    <xf numFmtId="0" fontId="1" fillId="6" borderId="4" xfId="9" applyFill="1" applyBorder="1" applyAlignment="1" applyProtection="1">
      <alignment horizontal="center"/>
      <protection locked="0"/>
    </xf>
    <xf numFmtId="0" fontId="1" fillId="0" borderId="0" xfId="9" applyAlignment="1" applyProtection="1">
      <alignment horizontal="left" indent="1"/>
      <protection locked="0"/>
    </xf>
    <xf numFmtId="0" fontId="1" fillId="8" borderId="4" xfId="9" applyFill="1" applyBorder="1" applyAlignment="1" applyProtection="1">
      <alignment horizontal="center"/>
      <protection locked="0"/>
    </xf>
    <xf numFmtId="0" fontId="1" fillId="0" borderId="4" xfId="9" applyBorder="1" applyAlignment="1" applyProtection="1">
      <alignment horizontal="center"/>
      <protection locked="0"/>
    </xf>
    <xf numFmtId="0" fontId="1" fillId="0" borderId="0" xfId="9" applyAlignment="1" applyProtection="1">
      <alignment horizontal="center"/>
      <protection locked="0"/>
    </xf>
    <xf numFmtId="0" fontId="1" fillId="0" borderId="0" xfId="9" quotePrefix="1" applyAlignment="1" applyProtection="1">
      <alignment horizontal="left" indent="1"/>
      <protection locked="0"/>
    </xf>
    <xf numFmtId="0" fontId="1" fillId="0" borderId="8" xfId="9" applyBorder="1" applyProtection="1">
      <protection locked="0"/>
    </xf>
    <xf numFmtId="0" fontId="1" fillId="0" borderId="0" xfId="9" applyAlignment="1" applyProtection="1">
      <alignment horizontal="left" indent="12"/>
      <protection locked="0"/>
    </xf>
    <xf numFmtId="0" fontId="1" fillId="0" borderId="9" xfId="9" applyBorder="1" applyProtection="1">
      <protection locked="0"/>
    </xf>
    <xf numFmtId="0" fontId="1" fillId="2" borderId="8" xfId="9" applyFill="1" applyBorder="1" applyProtection="1">
      <protection locked="0" hidden="1"/>
    </xf>
    <xf numFmtId="0" fontId="2" fillId="2" borderId="0" xfId="9" applyFont="1" applyFill="1" applyAlignment="1" applyProtection="1">
      <alignment horizontal="left"/>
      <protection locked="0" hidden="1"/>
    </xf>
    <xf numFmtId="0" fontId="1" fillId="2" borderId="0" xfId="9" applyFill="1" applyProtection="1">
      <protection locked="0" hidden="1"/>
    </xf>
    <xf numFmtId="0" fontId="1" fillId="2" borderId="9" xfId="9" applyFill="1" applyBorder="1" applyProtection="1">
      <protection locked="0" hidden="1"/>
    </xf>
    <xf numFmtId="0" fontId="1" fillId="0" borderId="0" xfId="9" applyProtection="1">
      <protection locked="0" hidden="1"/>
    </xf>
    <xf numFmtId="0" fontId="1" fillId="2" borderId="0" xfId="9" applyFill="1" applyAlignment="1" applyProtection="1">
      <alignment horizontal="left" indent="1"/>
      <protection locked="0" hidden="1"/>
    </xf>
    <xf numFmtId="0" fontId="32" fillId="2" borderId="0" xfId="9" applyFont="1" applyFill="1" applyAlignment="1" applyProtection="1">
      <alignment horizontal="center"/>
      <protection locked="0" hidden="1"/>
    </xf>
    <xf numFmtId="0" fontId="33" fillId="2" borderId="0" xfId="9" applyFont="1" applyFill="1" applyAlignment="1" applyProtection="1">
      <alignment horizontal="center"/>
      <protection locked="0" hidden="1"/>
    </xf>
    <xf numFmtId="0" fontId="4" fillId="2" borderId="0" xfId="9" applyFont="1" applyFill="1" applyAlignment="1" applyProtection="1">
      <alignment horizontal="center"/>
      <protection locked="0" hidden="1"/>
    </xf>
    <xf numFmtId="0" fontId="2" fillId="0" borderId="0" xfId="9" applyFont="1" applyProtection="1">
      <protection locked="0"/>
    </xf>
    <xf numFmtId="0" fontId="2" fillId="2" borderId="0" xfId="9" applyFont="1" applyFill="1" applyAlignment="1" applyProtection="1">
      <alignment horizontal="left" indent="1"/>
      <protection locked="0" hidden="1"/>
    </xf>
    <xf numFmtId="0" fontId="4" fillId="2" borderId="0" xfId="9" applyFont="1" applyFill="1" applyAlignment="1" applyProtection="1">
      <alignment horizontal="left"/>
      <protection locked="0" hidden="1"/>
    </xf>
    <xf numFmtId="0" fontId="10" fillId="2" borderId="0" xfId="9" applyFont="1" applyFill="1" applyAlignment="1" applyProtection="1">
      <alignment horizontal="center"/>
      <protection locked="0" hidden="1"/>
    </xf>
    <xf numFmtId="0" fontId="1" fillId="2" borderId="0" xfId="9" quotePrefix="1" applyFill="1" applyAlignment="1" applyProtection="1">
      <alignment horizontal="left" indent="1"/>
      <protection locked="0" hidden="1"/>
    </xf>
    <xf numFmtId="0" fontId="1" fillId="2" borderId="4" xfId="9" applyFill="1" applyBorder="1" applyAlignment="1" applyProtection="1">
      <alignment horizontal="center"/>
      <protection locked="0" hidden="1"/>
    </xf>
    <xf numFmtId="0" fontId="1" fillId="20" borderId="0" xfId="9" applyFill="1" applyProtection="1">
      <protection locked="0" hidden="1"/>
    </xf>
    <xf numFmtId="0" fontId="4" fillId="20" borderId="0" xfId="9" applyFont="1" applyFill="1" applyAlignment="1" applyProtection="1">
      <alignment horizontal="center"/>
      <protection locked="0" hidden="1"/>
    </xf>
    <xf numFmtId="0" fontId="32" fillId="20" borderId="0" xfId="9" applyFont="1" applyFill="1" applyAlignment="1" applyProtection="1">
      <alignment horizontal="center"/>
      <protection locked="0" hidden="1"/>
    </xf>
    <xf numFmtId="0" fontId="33" fillId="20" borderId="0" xfId="9" applyFont="1" applyFill="1" applyAlignment="1" applyProtection="1">
      <alignment horizontal="center"/>
      <protection locked="0" hidden="1"/>
    </xf>
    <xf numFmtId="0" fontId="1" fillId="20" borderId="4" xfId="9" applyFill="1" applyBorder="1" applyProtection="1">
      <protection locked="0" hidden="1"/>
    </xf>
    <xf numFmtId="0" fontId="10" fillId="20" borderId="0" xfId="9" applyFont="1" applyFill="1" applyAlignment="1" applyProtection="1">
      <alignment horizontal="center"/>
      <protection locked="0" hidden="1"/>
    </xf>
    <xf numFmtId="0" fontId="1" fillId="20" borderId="4" xfId="9" applyFill="1" applyBorder="1" applyAlignment="1" applyProtection="1">
      <alignment horizontal="center"/>
      <protection locked="0" hidden="1"/>
    </xf>
    <xf numFmtId="0" fontId="1" fillId="0" borderId="8" xfId="9" applyBorder="1" applyProtection="1">
      <protection locked="0" hidden="1"/>
    </xf>
    <xf numFmtId="0" fontId="2" fillId="0" borderId="0" xfId="9" applyFont="1" applyAlignment="1" applyProtection="1">
      <alignment horizontal="left" vertical="center"/>
      <protection locked="0"/>
    </xf>
    <xf numFmtId="0" fontId="1" fillId="0" borderId="0" xfId="9" applyAlignment="1" applyProtection="1">
      <alignment horizontal="center"/>
      <protection locked="0" hidden="1"/>
    </xf>
    <xf numFmtId="0" fontId="1" fillId="0" borderId="9" xfId="9" applyBorder="1" applyProtection="1">
      <protection locked="0" hidden="1"/>
    </xf>
    <xf numFmtId="166" fontId="1" fillId="2" borderId="4" xfId="9" applyNumberFormat="1" applyFill="1" applyBorder="1" applyAlignment="1" applyProtection="1">
      <alignment horizontal="center"/>
      <protection locked="0" hidden="1"/>
    </xf>
    <xf numFmtId="0" fontId="2" fillId="20" borderId="0" xfId="9" applyFont="1" applyFill="1" applyAlignment="1" applyProtection="1">
      <alignment horizontal="left" vertical="center"/>
      <protection locked="0"/>
    </xf>
    <xf numFmtId="0" fontId="2" fillId="0" borderId="0" xfId="9" applyFont="1" applyAlignment="1" applyProtection="1">
      <alignment horizontal="center" vertical="top"/>
      <protection locked="0"/>
    </xf>
    <xf numFmtId="0" fontId="2" fillId="0" borderId="0" xfId="9" applyFont="1" applyAlignment="1" applyProtection="1">
      <alignment horizontal="center" vertical="top" wrapText="1"/>
      <protection locked="0"/>
    </xf>
    <xf numFmtId="0" fontId="1" fillId="0" borderId="0" xfId="9" applyAlignment="1" applyProtection="1">
      <alignment horizontal="left" wrapText="1"/>
      <protection locked="0"/>
    </xf>
    <xf numFmtId="0" fontId="5" fillId="4" borderId="10" xfId="9" applyFont="1" applyFill="1" applyBorder="1" applyAlignment="1" applyProtection="1">
      <alignment vertical="top"/>
      <protection locked="0"/>
    </xf>
    <xf numFmtId="0" fontId="1" fillId="0" borderId="61" xfId="9" applyBorder="1" applyProtection="1">
      <protection locked="0"/>
    </xf>
    <xf numFmtId="0" fontId="1" fillId="4" borderId="8" xfId="9" applyFill="1" applyBorder="1" applyAlignment="1" applyProtection="1">
      <alignment horizontal="left" vertical="center" indent="3"/>
      <protection locked="0"/>
    </xf>
    <xf numFmtId="0" fontId="5" fillId="4" borderId="14" xfId="9" applyFont="1" applyFill="1" applyBorder="1" applyAlignment="1" applyProtection="1">
      <alignment vertical="top"/>
      <protection locked="0"/>
    </xf>
    <xf numFmtId="0" fontId="2" fillId="2" borderId="40" xfId="9" applyFont="1" applyFill="1" applyBorder="1" applyAlignment="1" applyProtection="1">
      <alignment horizontal="center" vertical="top"/>
      <protection locked="0"/>
    </xf>
    <xf numFmtId="0" fontId="2" fillId="2" borderId="15" xfId="9" applyFont="1" applyFill="1" applyBorder="1" applyAlignment="1" applyProtection="1">
      <alignment horizontal="center" vertical="top"/>
      <protection locked="0"/>
    </xf>
    <xf numFmtId="0" fontId="2" fillId="2" borderId="15" xfId="9" applyFont="1" applyFill="1" applyBorder="1" applyAlignment="1" applyProtection="1">
      <alignment horizontal="center" vertical="top" wrapText="1"/>
      <protection locked="0"/>
    </xf>
    <xf numFmtId="0" fontId="2" fillId="2" borderId="11" xfId="9" applyFont="1" applyFill="1" applyBorder="1" applyAlignment="1" applyProtection="1">
      <alignment horizontal="center" vertical="top" wrapText="1"/>
      <protection locked="0"/>
    </xf>
    <xf numFmtId="0" fontId="2" fillId="0" borderId="15" xfId="9" applyFont="1" applyBorder="1" applyProtection="1">
      <protection locked="0"/>
    </xf>
    <xf numFmtId="0" fontId="4" fillId="13" borderId="17" xfId="9" applyFont="1" applyFill="1" applyBorder="1" applyAlignment="1" applyProtection="1">
      <alignment horizontal="left" vertical="top" wrapText="1"/>
      <protection locked="0"/>
    </xf>
    <xf numFmtId="0" fontId="1" fillId="13" borderId="18" xfId="9" quotePrefix="1" applyFill="1" applyBorder="1" applyAlignment="1" applyProtection="1">
      <alignment horizontal="right" vertical="top" wrapText="1"/>
      <protection locked="0"/>
    </xf>
    <xf numFmtId="0" fontId="1" fillId="13" borderId="19" xfId="9" quotePrefix="1" applyFill="1" applyBorder="1" applyAlignment="1" applyProtection="1">
      <alignment horizontal="right" vertical="top" wrapText="1"/>
      <protection locked="0"/>
    </xf>
    <xf numFmtId="0" fontId="1" fillId="22" borderId="35" xfId="9" applyFill="1" applyBorder="1" applyAlignment="1" applyProtection="1">
      <alignment horizontal="center" wrapText="1"/>
      <protection locked="0"/>
    </xf>
    <xf numFmtId="0" fontId="1" fillId="22" borderId="17" xfId="9" applyFill="1" applyBorder="1" applyAlignment="1" applyProtection="1">
      <alignment horizontal="center"/>
      <protection locked="0"/>
    </xf>
    <xf numFmtId="0" fontId="1" fillId="22" borderId="0" xfId="9" applyFill="1" applyProtection="1">
      <protection locked="0"/>
    </xf>
    <xf numFmtId="0" fontId="1" fillId="4" borderId="35" xfId="9" applyFill="1" applyBorder="1" applyAlignment="1" applyProtection="1">
      <alignment horizontal="center"/>
      <protection locked="0"/>
    </xf>
    <xf numFmtId="0" fontId="1" fillId="4" borderId="17" xfId="9" applyFill="1" applyBorder="1" applyAlignment="1" applyProtection="1">
      <alignment horizontal="center"/>
      <protection locked="0"/>
    </xf>
    <xf numFmtId="0" fontId="1" fillId="4" borderId="51" xfId="9" applyFill="1" applyBorder="1" applyAlignment="1" applyProtection="1">
      <alignment horizontal="left" wrapText="1"/>
      <protection locked="0"/>
    </xf>
    <xf numFmtId="0" fontId="1" fillId="3" borderId="51" xfId="9" applyFill="1" applyBorder="1" applyAlignment="1" applyProtection="1">
      <alignment vertical="top" wrapText="1"/>
      <protection locked="0"/>
    </xf>
    <xf numFmtId="0" fontId="1" fillId="18" borderId="52" xfId="9" quotePrefix="1" applyFill="1" applyBorder="1" applyAlignment="1" applyProtection="1">
      <alignment horizontal="right" vertical="top" wrapText="1"/>
      <protection locked="0"/>
    </xf>
    <xf numFmtId="0" fontId="1" fillId="0" borderId="57" xfId="9" applyBorder="1" applyAlignment="1" applyProtection="1">
      <alignment horizontal="left"/>
      <protection locked="0"/>
    </xf>
    <xf numFmtId="0" fontId="1" fillId="18" borderId="30" xfId="9" quotePrefix="1" applyFill="1" applyBorder="1" applyAlignment="1" applyProtection="1">
      <alignment horizontal="right" vertical="top" wrapText="1"/>
      <protection locked="0"/>
    </xf>
    <xf numFmtId="0" fontId="1" fillId="0" borderId="25" xfId="9" applyBorder="1" applyAlignment="1" applyProtection="1">
      <alignment horizontal="left"/>
      <protection locked="0"/>
    </xf>
    <xf numFmtId="0" fontId="1" fillId="0" borderId="51" xfId="9" applyBorder="1" applyAlignment="1" applyProtection="1">
      <alignment horizontal="center" wrapText="1"/>
      <protection locked="0"/>
    </xf>
    <xf numFmtId="0" fontId="1" fillId="0" borderId="52" xfId="9" applyBorder="1" applyAlignment="1" applyProtection="1">
      <alignment horizontal="center"/>
      <protection locked="0"/>
    </xf>
    <xf numFmtId="0" fontId="1" fillId="0" borderId="31" xfId="9" applyBorder="1" applyAlignment="1" applyProtection="1">
      <alignment horizontal="center"/>
      <protection locked="0"/>
    </xf>
    <xf numFmtId="0" fontId="1" fillId="0" borderId="51" xfId="9" applyBorder="1" applyAlignment="1" applyProtection="1">
      <alignment horizontal="center"/>
      <protection locked="0"/>
    </xf>
    <xf numFmtId="0" fontId="1" fillId="0" borderId="51" xfId="9" applyBorder="1" applyAlignment="1" applyProtection="1">
      <alignment horizontal="left" wrapText="1"/>
      <protection locked="0"/>
    </xf>
    <xf numFmtId="0" fontId="1" fillId="3" borderId="36" xfId="9" applyFill="1" applyBorder="1" applyAlignment="1" applyProtection="1">
      <alignment vertical="top" wrapText="1"/>
      <protection locked="0"/>
    </xf>
    <xf numFmtId="0" fontId="1" fillId="18" borderId="24" xfId="9" applyFill="1" applyBorder="1" applyAlignment="1" applyProtection="1">
      <alignment horizontal="right" vertical="top" wrapText="1"/>
      <protection locked="0"/>
    </xf>
    <xf numFmtId="0" fontId="1" fillId="18" borderId="30" xfId="9" applyFill="1" applyBorder="1" applyAlignment="1" applyProtection="1">
      <alignment horizontal="right" vertical="top" wrapText="1"/>
      <protection locked="0"/>
    </xf>
    <xf numFmtId="0" fontId="1" fillId="0" borderId="36" xfId="9" applyBorder="1" applyAlignment="1" applyProtection="1">
      <alignment horizontal="center"/>
      <protection locked="0"/>
    </xf>
    <xf numFmtId="0" fontId="1" fillId="0" borderId="24" xfId="9" applyBorder="1" applyAlignment="1" applyProtection="1">
      <alignment horizontal="center"/>
      <protection locked="0"/>
    </xf>
    <xf numFmtId="0" fontId="1" fillId="0" borderId="36" xfId="9" applyBorder="1" applyAlignment="1" applyProtection="1">
      <alignment horizontal="left" wrapText="1"/>
      <protection locked="0"/>
    </xf>
    <xf numFmtId="0" fontId="1" fillId="18" borderId="41" xfId="9" applyFill="1" applyBorder="1" applyAlignment="1" applyProtection="1">
      <alignment horizontal="right" vertical="top" wrapText="1"/>
      <protection locked="0"/>
    </xf>
    <xf numFmtId="0" fontId="1" fillId="0" borderId="42" xfId="9" applyBorder="1" applyAlignment="1" applyProtection="1">
      <alignment horizontal="left"/>
      <protection locked="0"/>
    </xf>
    <xf numFmtId="0" fontId="1" fillId="0" borderId="42" xfId="9" applyBorder="1" applyProtection="1">
      <protection locked="0"/>
    </xf>
    <xf numFmtId="0" fontId="1" fillId="14" borderId="7" xfId="9" quotePrefix="1" applyFill="1" applyBorder="1" applyAlignment="1" applyProtection="1">
      <alignment horizontal="right" vertical="top" wrapText="1"/>
      <protection locked="0"/>
    </xf>
    <xf numFmtId="0" fontId="1" fillId="14" borderId="25" xfId="9" quotePrefix="1" applyFill="1" applyBorder="1" applyAlignment="1" applyProtection="1">
      <alignment horizontal="right" vertical="top" wrapText="1"/>
      <protection locked="0"/>
    </xf>
    <xf numFmtId="0" fontId="1" fillId="22" borderId="51" xfId="9" applyFill="1" applyBorder="1" applyAlignment="1" applyProtection="1">
      <alignment horizontal="center" wrapText="1"/>
      <protection locked="0"/>
    </xf>
    <xf numFmtId="0" fontId="1" fillId="22" borderId="24" xfId="9" applyFill="1" applyBorder="1" applyAlignment="1" applyProtection="1">
      <alignment horizontal="center"/>
      <protection locked="0"/>
    </xf>
    <xf numFmtId="0" fontId="1" fillId="22" borderId="31" xfId="9" applyFill="1" applyBorder="1" applyAlignment="1" applyProtection="1">
      <alignment horizontal="center"/>
      <protection locked="0"/>
    </xf>
    <xf numFmtId="0" fontId="1" fillId="4" borderId="36" xfId="9" applyFill="1" applyBorder="1" applyAlignment="1" applyProtection="1">
      <alignment horizontal="center"/>
      <protection locked="0"/>
    </xf>
    <xf numFmtId="0" fontId="1" fillId="4" borderId="24" xfId="9" applyFill="1" applyBorder="1" applyAlignment="1" applyProtection="1">
      <alignment horizontal="center"/>
      <protection locked="0"/>
    </xf>
    <xf numFmtId="0" fontId="1" fillId="4" borderId="36" xfId="9" applyFill="1" applyBorder="1" applyAlignment="1" applyProtection="1">
      <alignment horizontal="left" wrapText="1"/>
      <protection locked="0"/>
    </xf>
    <xf numFmtId="0" fontId="1" fillId="0" borderId="25" xfId="9" applyBorder="1" applyProtection="1">
      <protection locked="0"/>
    </xf>
    <xf numFmtId="0" fontId="1" fillId="0" borderId="31" xfId="9" applyBorder="1" applyProtection="1">
      <protection locked="0"/>
    </xf>
    <xf numFmtId="0" fontId="1" fillId="22" borderId="31" xfId="9" applyFill="1" applyBorder="1" applyProtection="1">
      <protection locked="0"/>
    </xf>
    <xf numFmtId="0" fontId="1" fillId="3" borderId="24" xfId="9" applyFill="1" applyBorder="1" applyAlignment="1" applyProtection="1">
      <alignment horizontal="left" vertical="top" wrapText="1"/>
      <protection locked="0"/>
    </xf>
    <xf numFmtId="0" fontId="1" fillId="22" borderId="36" xfId="9" applyFill="1" applyBorder="1" applyAlignment="1" applyProtection="1">
      <alignment horizontal="center"/>
      <protection locked="0"/>
    </xf>
    <xf numFmtId="0" fontId="1" fillId="0" borderId="36" xfId="9" applyBorder="1" applyAlignment="1" applyProtection="1">
      <alignment horizontal="center" wrapText="1"/>
      <protection locked="0"/>
    </xf>
    <xf numFmtId="0" fontId="1" fillId="22" borderId="36" xfId="9" applyFill="1" applyBorder="1" applyAlignment="1" applyProtection="1">
      <alignment horizontal="center" wrapText="1"/>
      <protection locked="0"/>
    </xf>
    <xf numFmtId="0" fontId="1" fillId="4" borderId="36" xfId="9" applyFill="1" applyBorder="1" applyAlignment="1" applyProtection="1">
      <alignment horizontal="center" wrapText="1"/>
      <protection locked="0"/>
    </xf>
    <xf numFmtId="0" fontId="1" fillId="0" borderId="8" xfId="9" applyBorder="1" applyAlignment="1" applyProtection="1">
      <alignment vertical="top"/>
      <protection locked="0"/>
    </xf>
    <xf numFmtId="0" fontId="1" fillId="0" borderId="9" xfId="9" applyBorder="1" applyAlignment="1" applyProtection="1">
      <alignment vertical="top"/>
      <protection locked="0"/>
    </xf>
    <xf numFmtId="0" fontId="1" fillId="0" borderId="0" xfId="9" applyAlignment="1" applyProtection="1">
      <alignment vertical="top"/>
      <protection locked="0"/>
    </xf>
    <xf numFmtId="0" fontId="1" fillId="0" borderId="31" xfId="9" applyBorder="1" applyAlignment="1" applyProtection="1">
      <alignment horizontal="center" vertical="top"/>
      <protection locked="0"/>
    </xf>
    <xf numFmtId="0" fontId="1" fillId="0" borderId="43" xfId="9" applyBorder="1" applyAlignment="1" applyProtection="1">
      <alignment horizontal="center"/>
      <protection locked="0"/>
    </xf>
    <xf numFmtId="0" fontId="1" fillId="0" borderId="41" xfId="9" applyBorder="1" applyAlignment="1" applyProtection="1">
      <alignment horizontal="center"/>
      <protection locked="0"/>
    </xf>
    <xf numFmtId="0" fontId="1" fillId="18" borderId="52" xfId="9" applyFill="1" applyBorder="1" applyAlignment="1" applyProtection="1">
      <alignment horizontal="right" vertical="top" wrapText="1"/>
      <protection locked="0"/>
    </xf>
    <xf numFmtId="0" fontId="1" fillId="18" borderId="3" xfId="9" applyFill="1" applyBorder="1" applyAlignment="1" applyProtection="1">
      <alignment horizontal="right" vertical="top" wrapText="1"/>
      <protection locked="0"/>
    </xf>
    <xf numFmtId="0" fontId="1" fillId="0" borderId="53" xfId="9" applyBorder="1" applyProtection="1">
      <protection locked="0"/>
    </xf>
    <xf numFmtId="0" fontId="1" fillId="0" borderId="57" xfId="9" applyBorder="1" applyProtection="1">
      <protection locked="0"/>
    </xf>
    <xf numFmtId="0" fontId="1" fillId="0" borderId="56" xfId="9" applyBorder="1" applyAlignment="1" applyProtection="1">
      <alignment horizontal="left"/>
      <protection locked="0"/>
    </xf>
    <xf numFmtId="0" fontId="1" fillId="0" borderId="56" xfId="9" applyBorder="1" applyProtection="1">
      <protection locked="0"/>
    </xf>
    <xf numFmtId="0" fontId="1" fillId="0" borderId="40" xfId="9" applyBorder="1" applyAlignment="1" applyProtection="1">
      <alignment horizontal="center" wrapText="1"/>
      <protection locked="0"/>
    </xf>
    <xf numFmtId="0" fontId="1" fillId="0" borderId="14" xfId="9" applyBorder="1" applyAlignment="1" applyProtection="1">
      <alignment horizontal="center" wrapText="1"/>
      <protection locked="0"/>
    </xf>
    <xf numFmtId="0" fontId="1" fillId="0" borderId="66" xfId="9" applyBorder="1" applyAlignment="1" applyProtection="1">
      <alignment horizontal="center"/>
      <protection locked="0"/>
    </xf>
    <xf numFmtId="0" fontId="1" fillId="0" borderId="14" xfId="9" applyBorder="1" applyAlignment="1" applyProtection="1">
      <alignment horizontal="center"/>
      <protection locked="0"/>
    </xf>
    <xf numFmtId="0" fontId="1" fillId="0" borderId="40" xfId="9" applyBorder="1" applyAlignment="1" applyProtection="1">
      <alignment horizontal="center"/>
      <protection locked="0"/>
    </xf>
    <xf numFmtId="0" fontId="1" fillId="0" borderId="23" xfId="9" applyBorder="1" applyAlignment="1" applyProtection="1">
      <alignment horizontal="center"/>
      <protection locked="0"/>
    </xf>
    <xf numFmtId="0" fontId="1" fillId="0" borderId="40" xfId="9" applyBorder="1" applyAlignment="1" applyProtection="1">
      <alignment horizontal="left" wrapText="1"/>
      <protection locked="0"/>
    </xf>
    <xf numFmtId="0" fontId="1" fillId="2" borderId="8" xfId="9" applyFill="1" applyBorder="1" applyProtection="1">
      <protection locked="0"/>
    </xf>
    <xf numFmtId="0" fontId="2" fillId="2" borderId="0" xfId="9" applyFont="1" applyFill="1" applyAlignment="1" applyProtection="1">
      <alignment vertical="top" wrapText="1"/>
      <protection locked="0"/>
    </xf>
    <xf numFmtId="0" fontId="13" fillId="18" borderId="0" xfId="9" applyFont="1" applyFill="1" applyAlignment="1" applyProtection="1">
      <alignment vertical="top" wrapText="1"/>
      <protection locked="0"/>
    </xf>
    <xf numFmtId="0" fontId="1" fillId="2" borderId="0" xfId="9" applyFill="1" applyProtection="1">
      <protection locked="0"/>
    </xf>
    <xf numFmtId="0" fontId="1" fillId="18" borderId="0" xfId="9" applyFill="1" applyProtection="1">
      <protection locked="0"/>
    </xf>
    <xf numFmtId="0" fontId="1" fillId="2" borderId="9" xfId="9" applyFill="1" applyBorder="1" applyProtection="1">
      <protection locked="0"/>
    </xf>
    <xf numFmtId="0" fontId="2" fillId="0" borderId="0" xfId="9" applyFont="1" applyAlignment="1" applyProtection="1">
      <alignment vertical="top" wrapText="1"/>
      <protection locked="0"/>
    </xf>
    <xf numFmtId="0" fontId="13" fillId="2" borderId="0" xfId="9" applyFont="1" applyFill="1" applyAlignment="1" applyProtection="1">
      <alignment vertical="top" wrapText="1"/>
      <protection locked="0"/>
    </xf>
    <xf numFmtId="0" fontId="1" fillId="4" borderId="36" xfId="9" applyFill="1" applyBorder="1" applyAlignment="1" applyProtection="1">
      <alignment horizontal="left"/>
      <protection locked="0"/>
    </xf>
    <xf numFmtId="0" fontId="1" fillId="0" borderId="24" xfId="9" applyBorder="1" applyAlignment="1" applyProtection="1">
      <alignment horizontal="right" vertical="top" wrapText="1"/>
      <protection locked="0"/>
    </xf>
    <xf numFmtId="0" fontId="1" fillId="0" borderId="30" xfId="9" applyBorder="1" applyAlignment="1" applyProtection="1">
      <alignment horizontal="right" vertical="top" wrapText="1"/>
      <protection locked="0"/>
    </xf>
    <xf numFmtId="0" fontId="1" fillId="19" borderId="30" xfId="9" applyFill="1" applyBorder="1" applyAlignment="1" applyProtection="1">
      <alignment horizontal="right" vertical="top" wrapText="1"/>
      <protection locked="0"/>
    </xf>
    <xf numFmtId="0" fontId="1" fillId="0" borderId="52" xfId="9" applyBorder="1" applyAlignment="1" applyProtection="1">
      <alignment horizontal="right" vertical="top" wrapText="1"/>
      <protection locked="0"/>
    </xf>
    <xf numFmtId="0" fontId="1" fillId="0" borderId="3" xfId="9" applyBorder="1" applyAlignment="1" applyProtection="1">
      <alignment horizontal="right" vertical="top" wrapText="1"/>
      <protection locked="0"/>
    </xf>
    <xf numFmtId="0" fontId="1" fillId="18" borderId="0" xfId="9" applyFill="1" applyProtection="1">
      <protection locked="0" hidden="1"/>
    </xf>
    <xf numFmtId="0" fontId="1" fillId="18" borderId="0" xfId="9" applyFill="1" applyAlignment="1" applyProtection="1">
      <alignment horizontal="center"/>
      <protection locked="0" hidden="1"/>
    </xf>
    <xf numFmtId="0" fontId="1" fillId="3" borderId="40" xfId="9" applyFill="1" applyBorder="1" applyAlignment="1" applyProtection="1">
      <alignment vertical="top" wrapText="1"/>
      <protection locked="0"/>
    </xf>
    <xf numFmtId="0" fontId="1" fillId="0" borderId="14" xfId="9" applyBorder="1" applyAlignment="1" applyProtection="1">
      <alignment horizontal="right" vertical="top" wrapText="1"/>
      <protection locked="0"/>
    </xf>
    <xf numFmtId="0" fontId="1" fillId="0" borderId="60" xfId="9" applyBorder="1" applyAlignment="1" applyProtection="1">
      <alignment horizontal="left"/>
      <protection locked="0"/>
    </xf>
    <xf numFmtId="0" fontId="1" fillId="0" borderId="33" xfId="9" applyBorder="1" applyAlignment="1" applyProtection="1">
      <alignment horizontal="right" vertical="top" wrapText="1"/>
      <protection locked="0"/>
    </xf>
    <xf numFmtId="0" fontId="1" fillId="0" borderId="16" xfId="9" applyBorder="1" applyProtection="1">
      <protection locked="0"/>
    </xf>
    <xf numFmtId="0" fontId="1" fillId="0" borderId="60" xfId="9" applyBorder="1" applyProtection="1">
      <protection locked="0"/>
    </xf>
    <xf numFmtId="0" fontId="1" fillId="2" borderId="0" xfId="9" applyFill="1" applyAlignment="1" applyProtection="1">
      <alignment horizontal="left"/>
      <protection locked="0" hidden="1"/>
    </xf>
    <xf numFmtId="0" fontId="1" fillId="20" borderId="30" xfId="9" applyFill="1" applyBorder="1" applyProtection="1">
      <protection locked="0" hidden="1"/>
    </xf>
    <xf numFmtId="0" fontId="10" fillId="20" borderId="0" xfId="9" applyFont="1" applyFill="1" applyProtection="1">
      <protection locked="0" hidden="1"/>
    </xf>
    <xf numFmtId="0" fontId="10" fillId="2" borderId="0" xfId="9" applyFont="1" applyFill="1" applyProtection="1">
      <protection locked="0" hidden="1"/>
    </xf>
    <xf numFmtId="0" fontId="1" fillId="20" borderId="7" xfId="9" applyFill="1" applyBorder="1" applyProtection="1">
      <protection locked="0" hidden="1"/>
    </xf>
    <xf numFmtId="0" fontId="1" fillId="20" borderId="57" xfId="9" applyFill="1" applyBorder="1" applyProtection="1">
      <protection locked="0" hidden="1"/>
    </xf>
    <xf numFmtId="0" fontId="1" fillId="0" borderId="39" xfId="9" applyBorder="1" applyProtection="1">
      <protection locked="0"/>
    </xf>
    <xf numFmtId="0" fontId="5" fillId="4" borderId="38" xfId="9" applyFont="1" applyFill="1" applyBorder="1" applyAlignment="1" applyProtection="1">
      <alignment horizontal="left" vertical="top"/>
      <protection locked="0"/>
    </xf>
    <xf numFmtId="0" fontId="5" fillId="4" borderId="8" xfId="9" applyFont="1" applyFill="1" applyBorder="1" applyAlignment="1" applyProtection="1">
      <alignment horizontal="left" vertical="top"/>
      <protection locked="0"/>
    </xf>
    <xf numFmtId="165" fontId="1" fillId="0" borderId="17" xfId="9" applyNumberFormat="1" applyBorder="1" applyAlignment="1" applyProtection="1">
      <alignment wrapText="1"/>
      <protection locked="0"/>
    </xf>
    <xf numFmtId="3" fontId="1" fillId="18" borderId="24" xfId="9" applyNumberFormat="1" applyFill="1" applyBorder="1" applyProtection="1">
      <protection locked="0"/>
    </xf>
    <xf numFmtId="0" fontId="1" fillId="0" borderId="54" xfId="9" applyBorder="1" applyProtection="1">
      <protection locked="0"/>
    </xf>
    <xf numFmtId="3" fontId="1" fillId="18" borderId="27" xfId="9" applyNumberFormat="1" applyFill="1" applyBorder="1" applyProtection="1">
      <protection locked="0"/>
    </xf>
    <xf numFmtId="0" fontId="1" fillId="0" borderId="9" xfId="9" quotePrefix="1" applyBorder="1" applyAlignment="1" applyProtection="1">
      <alignment horizontal="left"/>
      <protection locked="0"/>
    </xf>
    <xf numFmtId="165" fontId="1" fillId="0" borderId="24" xfId="9" applyNumberFormat="1" applyBorder="1" applyAlignment="1" applyProtection="1">
      <alignment wrapText="1"/>
      <protection locked="0"/>
    </xf>
    <xf numFmtId="3" fontId="1" fillId="18" borderId="30" xfId="9" applyNumberFormat="1" applyFill="1" applyBorder="1" applyProtection="1">
      <protection locked="0"/>
    </xf>
    <xf numFmtId="0" fontId="1" fillId="0" borderId="24" xfId="9" applyBorder="1" applyProtection="1">
      <protection locked="0"/>
    </xf>
    <xf numFmtId="0" fontId="1" fillId="18" borderId="24" xfId="9" applyFill="1" applyBorder="1" applyProtection="1">
      <protection locked="0"/>
    </xf>
    <xf numFmtId="0" fontId="1" fillId="18" borderId="30" xfId="9" applyFill="1" applyBorder="1" applyProtection="1">
      <protection locked="0"/>
    </xf>
    <xf numFmtId="0" fontId="1" fillId="0" borderId="20" xfId="9" applyBorder="1" applyProtection="1">
      <protection locked="0"/>
    </xf>
    <xf numFmtId="0" fontId="1" fillId="18" borderId="14" xfId="9" applyFill="1" applyBorder="1" applyProtection="1">
      <protection locked="0"/>
    </xf>
    <xf numFmtId="0" fontId="1" fillId="18" borderId="33" xfId="9" applyFill="1" applyBorder="1" applyProtection="1">
      <protection locked="0"/>
    </xf>
    <xf numFmtId="0" fontId="1" fillId="0" borderId="37" xfId="9" applyBorder="1" applyProtection="1">
      <protection locked="0"/>
    </xf>
    <xf numFmtId="0" fontId="1" fillId="2" borderId="0" xfId="9" applyFill="1" applyAlignment="1" applyProtection="1">
      <alignment horizontal="center" vertical="top" wrapText="1"/>
      <protection locked="0" hidden="1"/>
    </xf>
    <xf numFmtId="0" fontId="1" fillId="2" borderId="0" xfId="9" applyFill="1" applyAlignment="1" applyProtection="1">
      <alignment horizontal="right"/>
      <protection locked="0" hidden="1"/>
    </xf>
    <xf numFmtId="3" fontId="1" fillId="19" borderId="17" xfId="9" applyNumberFormat="1" applyFill="1" applyBorder="1" applyProtection="1">
      <protection locked="0"/>
    </xf>
    <xf numFmtId="3" fontId="1" fillId="19" borderId="27" xfId="9" applyNumberFormat="1" applyFill="1" applyBorder="1" applyProtection="1">
      <protection locked="0"/>
    </xf>
    <xf numFmtId="0" fontId="1" fillId="0" borderId="19" xfId="9" applyBorder="1" applyProtection="1">
      <protection locked="0"/>
    </xf>
    <xf numFmtId="0" fontId="1" fillId="20" borderId="8" xfId="9" applyFill="1" applyBorder="1" applyProtection="1">
      <protection locked="0"/>
    </xf>
    <xf numFmtId="165" fontId="1" fillId="20" borderId="7" xfId="9" applyNumberFormat="1" applyFill="1" applyBorder="1" applyAlignment="1" applyProtection="1">
      <alignment wrapText="1"/>
      <protection locked="0"/>
    </xf>
    <xf numFmtId="3" fontId="1" fillId="20" borderId="7" xfId="9" applyNumberFormat="1" applyFill="1" applyBorder="1" applyProtection="1">
      <protection locked="0"/>
    </xf>
    <xf numFmtId="0" fontId="1" fillId="20" borderId="7" xfId="9" applyFill="1" applyBorder="1" applyProtection="1">
      <protection locked="0"/>
    </xf>
    <xf numFmtId="0" fontId="1" fillId="20" borderId="9" xfId="9" quotePrefix="1" applyFill="1" applyBorder="1" applyAlignment="1" applyProtection="1">
      <alignment horizontal="left"/>
      <protection locked="0"/>
    </xf>
    <xf numFmtId="3" fontId="1" fillId="19" borderId="24" xfId="9" applyNumberFormat="1" applyFill="1" applyBorder="1" applyProtection="1">
      <protection locked="0"/>
    </xf>
    <xf numFmtId="3" fontId="1" fillId="19" borderId="30" xfId="9" applyNumberFormat="1" applyFill="1" applyBorder="1" applyProtection="1">
      <protection locked="0"/>
    </xf>
    <xf numFmtId="0" fontId="1" fillId="20" borderId="57" xfId="9" applyFill="1" applyBorder="1" applyProtection="1">
      <protection locked="0"/>
    </xf>
    <xf numFmtId="3" fontId="1" fillId="20" borderId="30" xfId="9" applyNumberFormat="1" applyFill="1" applyBorder="1" applyProtection="1">
      <protection locked="0"/>
    </xf>
    <xf numFmtId="165" fontId="1" fillId="0" borderId="20" xfId="9" applyNumberFormat="1" applyBorder="1" applyProtection="1">
      <protection locked="0"/>
    </xf>
    <xf numFmtId="0" fontId="1" fillId="0" borderId="67" xfId="9" applyBorder="1" applyProtection="1">
      <protection locked="0"/>
    </xf>
    <xf numFmtId="165" fontId="1" fillId="0" borderId="68" xfId="9" applyNumberFormat="1" applyBorder="1" applyProtection="1">
      <protection locked="0"/>
    </xf>
    <xf numFmtId="0" fontId="1" fillId="0" borderId="22" xfId="9" applyBorder="1" applyProtection="1">
      <protection locked="0"/>
    </xf>
    <xf numFmtId="0" fontId="1" fillId="20" borderId="0" xfId="9" applyFill="1" applyProtection="1">
      <protection locked="0"/>
    </xf>
    <xf numFmtId="165" fontId="1" fillId="20" borderId="0" xfId="9" applyNumberFormat="1" applyFill="1" applyProtection="1">
      <protection locked="0"/>
    </xf>
    <xf numFmtId="0" fontId="1" fillId="20" borderId="9" xfId="9" applyFill="1" applyBorder="1" applyProtection="1">
      <protection locked="0"/>
    </xf>
    <xf numFmtId="0" fontId="1" fillId="20" borderId="8" xfId="9" applyFill="1" applyBorder="1" applyProtection="1">
      <protection locked="0" hidden="1"/>
    </xf>
    <xf numFmtId="0" fontId="1" fillId="20" borderId="9" xfId="9" applyFill="1" applyBorder="1" applyProtection="1">
      <protection locked="0" hidden="1"/>
    </xf>
    <xf numFmtId="0" fontId="1" fillId="0" borderId="14" xfId="9" applyBorder="1" applyProtection="1">
      <protection locked="0"/>
    </xf>
    <xf numFmtId="0" fontId="1" fillId="0" borderId="6" xfId="9" applyBorder="1" applyProtection="1">
      <protection locked="0"/>
    </xf>
    <xf numFmtId="0" fontId="14" fillId="0" borderId="0" xfId="9" applyFont="1" applyProtection="1">
      <protection locked="0"/>
    </xf>
    <xf numFmtId="0" fontId="2" fillId="0" borderId="8" xfId="9" applyFont="1" applyBorder="1" applyProtection="1">
      <protection locked="0"/>
    </xf>
    <xf numFmtId="0" fontId="2" fillId="0" borderId="61" xfId="9" applyFont="1" applyBorder="1" applyProtection="1">
      <protection locked="0"/>
    </xf>
    <xf numFmtId="0" fontId="2" fillId="0" borderId="9" xfId="9" applyFont="1" applyBorder="1" applyProtection="1">
      <protection locked="0"/>
    </xf>
    <xf numFmtId="0" fontId="1" fillId="20" borderId="0" xfId="9" applyFill="1" applyAlignment="1" applyProtection="1">
      <alignment vertical="top" wrapText="1"/>
      <protection locked="0"/>
    </xf>
    <xf numFmtId="1" fontId="2" fillId="20" borderId="69" xfId="9" applyNumberFormat="1" applyFont="1" applyFill="1" applyBorder="1" applyAlignment="1" applyProtection="1">
      <alignment horizontal="center" vertical="top" wrapText="1"/>
      <protection locked="0"/>
    </xf>
    <xf numFmtId="1" fontId="2" fillId="20" borderId="5" xfId="9" applyNumberFormat="1" applyFont="1" applyFill="1" applyBorder="1" applyAlignment="1" applyProtection="1">
      <alignment horizontal="center" vertical="top" wrapText="1"/>
      <protection locked="0"/>
    </xf>
    <xf numFmtId="1" fontId="2" fillId="20" borderId="1" xfId="9" applyNumberFormat="1" applyFont="1" applyFill="1" applyBorder="1" applyAlignment="1" applyProtection="1">
      <alignment horizontal="center" vertical="top" wrapText="1"/>
      <protection locked="0"/>
    </xf>
    <xf numFmtId="0" fontId="1" fillId="0" borderId="17" xfId="9" applyBorder="1" applyAlignment="1" applyProtection="1">
      <alignment vertical="top" wrapText="1"/>
      <protection locked="0"/>
    </xf>
    <xf numFmtId="0" fontId="1" fillId="0" borderId="20" xfId="9" applyBorder="1" applyAlignment="1" applyProtection="1">
      <alignment vertical="top" wrapText="1"/>
      <protection locked="0"/>
    </xf>
    <xf numFmtId="0" fontId="1" fillId="20" borderId="0" xfId="9" applyFill="1" applyAlignment="1" applyProtection="1">
      <alignment horizontal="right" wrapText="1"/>
      <protection locked="0"/>
    </xf>
    <xf numFmtId="0" fontId="1" fillId="20" borderId="0" xfId="9" applyFill="1" applyAlignment="1" applyProtection="1">
      <alignment horizontal="center" wrapText="1"/>
      <protection locked="0"/>
    </xf>
    <xf numFmtId="0" fontId="1" fillId="20" borderId="0" xfId="9" applyFill="1" applyAlignment="1" applyProtection="1">
      <alignment horizontal="right"/>
      <protection locked="0"/>
    </xf>
    <xf numFmtId="0" fontId="1" fillId="20" borderId="0" xfId="9" applyFill="1" applyAlignment="1" applyProtection="1">
      <alignment horizontal="center"/>
      <protection locked="0"/>
    </xf>
    <xf numFmtId="0" fontId="1" fillId="20" borderId="0" xfId="9" applyFill="1" applyAlignment="1" applyProtection="1">
      <alignment horizontal="left"/>
      <protection locked="0"/>
    </xf>
    <xf numFmtId="0" fontId="4" fillId="20" borderId="0" xfId="9" applyFont="1" applyFill="1" applyProtection="1">
      <protection locked="0"/>
    </xf>
    <xf numFmtId="2" fontId="1" fillId="20" borderId="0" xfId="9" applyNumberFormat="1" applyFill="1" applyAlignment="1" applyProtection="1">
      <alignment horizontal="right"/>
      <protection locked="0"/>
    </xf>
    <xf numFmtId="2" fontId="1" fillId="20" borderId="0" xfId="9" applyNumberFormat="1" applyFill="1" applyAlignment="1" applyProtection="1">
      <alignment horizontal="left"/>
      <protection locked="0"/>
    </xf>
    <xf numFmtId="0" fontId="1" fillId="20" borderId="0" xfId="9" applyFill="1" applyAlignment="1" applyProtection="1">
      <alignment horizontal="left" wrapText="1"/>
      <protection locked="0"/>
    </xf>
    <xf numFmtId="2" fontId="1" fillId="20" borderId="0" xfId="9" applyNumberFormat="1" applyFill="1" applyAlignment="1" applyProtection="1">
      <alignment horizontal="right" wrapText="1"/>
      <protection locked="0"/>
    </xf>
    <xf numFmtId="0" fontId="2" fillId="20" borderId="0" xfId="9" applyFont="1" applyFill="1" applyProtection="1">
      <protection locked="0"/>
    </xf>
    <xf numFmtId="0" fontId="1" fillId="20" borderId="0" xfId="9" applyFill="1" applyAlignment="1" applyProtection="1">
      <alignment horizontal="right"/>
      <protection locked="0" hidden="1"/>
    </xf>
    <xf numFmtId="0" fontId="1" fillId="20" borderId="0" xfId="9" applyFill="1" applyAlignment="1" applyProtection="1">
      <alignment horizontal="left"/>
      <protection locked="0" hidden="1"/>
    </xf>
    <xf numFmtId="0" fontId="1" fillId="20" borderId="0" xfId="9" applyFill="1" applyAlignment="1" applyProtection="1">
      <alignment wrapText="1"/>
      <protection locked="0" hidden="1"/>
    </xf>
    <xf numFmtId="166" fontId="1" fillId="20" borderId="0" xfId="9" applyNumberFormat="1" applyFill="1" applyAlignment="1" applyProtection="1">
      <alignment horizontal="right"/>
      <protection locked="0" hidden="1"/>
    </xf>
    <xf numFmtId="1" fontId="1" fillId="20" borderId="0" xfId="9" applyNumberFormat="1" applyFill="1" applyAlignment="1" applyProtection="1">
      <alignment horizontal="right"/>
      <protection locked="0"/>
    </xf>
    <xf numFmtId="1" fontId="1" fillId="20" borderId="0" xfId="9" applyNumberFormat="1" applyFill="1" applyAlignment="1" applyProtection="1">
      <alignment horizontal="left"/>
      <protection locked="0"/>
    </xf>
    <xf numFmtId="165" fontId="1" fillId="20" borderId="0" xfId="9" applyNumberFormat="1" applyFill="1" applyAlignment="1" applyProtection="1">
      <alignment horizontal="right"/>
      <protection locked="0"/>
    </xf>
    <xf numFmtId="165" fontId="1" fillId="20" borderId="0" xfId="9" applyNumberFormat="1" applyFill="1" applyAlignment="1" applyProtection="1">
      <alignment horizontal="left"/>
      <protection locked="0"/>
    </xf>
    <xf numFmtId="1" fontId="1" fillId="0" borderId="0" xfId="9" applyNumberFormat="1" applyAlignment="1" applyProtection="1">
      <alignment horizontal="right"/>
      <protection locked="0"/>
    </xf>
    <xf numFmtId="1" fontId="1" fillId="0" borderId="0" xfId="9" applyNumberFormat="1" applyAlignment="1" applyProtection="1">
      <alignment horizontal="left"/>
      <protection locked="0"/>
    </xf>
    <xf numFmtId="0" fontId="1" fillId="0" borderId="61" xfId="9" applyBorder="1" applyProtection="1">
      <protection locked="0" hidden="1"/>
    </xf>
    <xf numFmtId="2" fontId="1" fillId="20" borderId="0" xfId="9" applyNumberFormat="1" applyFill="1" applyAlignment="1" applyProtection="1">
      <alignment horizontal="right" vertical="top" wrapText="1"/>
      <protection locked="0"/>
    </xf>
    <xf numFmtId="166" fontId="1" fillId="20" borderId="0" xfId="9" applyNumberFormat="1" applyFill="1" applyAlignment="1" applyProtection="1">
      <alignment horizontal="right" vertical="top" wrapText="1"/>
      <protection locked="0"/>
    </xf>
    <xf numFmtId="2" fontId="1" fillId="20" borderId="0" xfId="9" applyNumberFormat="1" applyFill="1" applyAlignment="1" applyProtection="1">
      <alignment horizontal="left" vertical="top" wrapText="1"/>
      <protection locked="0"/>
    </xf>
    <xf numFmtId="165" fontId="2" fillId="20" borderId="0" xfId="9" applyNumberFormat="1" applyFont="1" applyFill="1" applyAlignment="1" applyProtection="1">
      <alignment horizontal="right"/>
      <protection locked="0"/>
    </xf>
    <xf numFmtId="1" fontId="2" fillId="20" borderId="0" xfId="9" applyNumberFormat="1" applyFont="1" applyFill="1" applyAlignment="1" applyProtection="1">
      <alignment horizontal="left"/>
      <protection locked="0"/>
    </xf>
    <xf numFmtId="0" fontId="1" fillId="0" borderId="17" xfId="9" applyBorder="1" applyProtection="1">
      <protection locked="0"/>
    </xf>
    <xf numFmtId="165" fontId="2" fillId="19" borderId="17" xfId="9" applyNumberFormat="1" applyFont="1" applyFill="1" applyBorder="1" applyAlignment="1" applyProtection="1">
      <alignment horizontal="right"/>
      <protection locked="0"/>
    </xf>
    <xf numFmtId="165" fontId="2" fillId="0" borderId="54" xfId="9" applyNumberFormat="1" applyFont="1" applyBorder="1" applyAlignment="1" applyProtection="1">
      <alignment horizontal="left"/>
      <protection locked="0"/>
    </xf>
    <xf numFmtId="165" fontId="2" fillId="19" borderId="27" xfId="9" applyNumberFormat="1" applyFont="1" applyFill="1" applyBorder="1" applyAlignment="1" applyProtection="1">
      <alignment horizontal="right"/>
      <protection locked="0"/>
    </xf>
    <xf numFmtId="165" fontId="2" fillId="0" borderId="19" xfId="9" applyNumberFormat="1" applyFont="1" applyBorder="1" applyAlignment="1" applyProtection="1">
      <alignment horizontal="left"/>
      <protection locked="0"/>
    </xf>
    <xf numFmtId="165" fontId="2" fillId="19" borderId="18" xfId="9" applyNumberFormat="1" applyFont="1" applyFill="1" applyBorder="1" applyAlignment="1" applyProtection="1">
      <alignment horizontal="right"/>
      <protection locked="0"/>
    </xf>
    <xf numFmtId="1" fontId="2" fillId="0" borderId="19" xfId="9" applyNumberFormat="1" applyFont="1" applyBorder="1" applyAlignment="1" applyProtection="1">
      <alignment horizontal="left"/>
      <protection locked="0"/>
    </xf>
    <xf numFmtId="0" fontId="1" fillId="0" borderId="24" xfId="9" applyBorder="1" applyProtection="1">
      <protection locked="0" hidden="1"/>
    </xf>
    <xf numFmtId="166" fontId="1" fillId="19" borderId="24" xfId="9" applyNumberFormat="1" applyFill="1" applyBorder="1" applyAlignment="1" applyProtection="1">
      <alignment horizontal="right"/>
      <protection locked="0"/>
    </xf>
    <xf numFmtId="166" fontId="1" fillId="0" borderId="57" xfId="9" applyNumberFormat="1" applyBorder="1" applyAlignment="1" applyProtection="1">
      <alignment horizontal="left"/>
      <protection locked="0"/>
    </xf>
    <xf numFmtId="166" fontId="1" fillId="19" borderId="30" xfId="9" applyNumberFormat="1" applyFill="1" applyBorder="1" applyAlignment="1" applyProtection="1">
      <alignment horizontal="right"/>
      <protection locked="0"/>
    </xf>
    <xf numFmtId="166" fontId="1" fillId="0" borderId="25" xfId="9" applyNumberFormat="1" applyBorder="1" applyAlignment="1" applyProtection="1">
      <alignment horizontal="left"/>
      <protection locked="0"/>
    </xf>
    <xf numFmtId="166" fontId="1" fillId="19" borderId="7" xfId="9" applyNumberFormat="1" applyFill="1" applyBorder="1" applyAlignment="1" applyProtection="1">
      <alignment horizontal="right"/>
      <protection locked="0"/>
    </xf>
    <xf numFmtId="1" fontId="1" fillId="0" borderId="25" xfId="9" applyNumberFormat="1" applyBorder="1" applyAlignment="1" applyProtection="1">
      <alignment horizontal="left"/>
      <protection locked="0"/>
    </xf>
    <xf numFmtId="165" fontId="2" fillId="20" borderId="7" xfId="9" applyNumberFormat="1" applyFont="1" applyFill="1" applyBorder="1" applyAlignment="1" applyProtection="1">
      <alignment horizontal="right"/>
      <protection locked="0"/>
    </xf>
    <xf numFmtId="1" fontId="2" fillId="20" borderId="7" xfId="9" applyNumberFormat="1" applyFont="1" applyFill="1" applyBorder="1" applyAlignment="1" applyProtection="1">
      <alignment horizontal="left"/>
      <protection locked="0"/>
    </xf>
    <xf numFmtId="2" fontId="1" fillId="20" borderId="0" xfId="9" applyNumberFormat="1" applyFill="1" applyProtection="1">
      <protection locked="0"/>
    </xf>
    <xf numFmtId="166" fontId="1" fillId="0" borderId="17" xfId="9" applyNumberFormat="1" applyBorder="1" applyAlignment="1" applyProtection="1">
      <alignment horizontal="right"/>
      <protection locked="0"/>
    </xf>
    <xf numFmtId="1" fontId="1" fillId="0" borderId="54" xfId="9" applyNumberFormat="1" applyBorder="1" applyAlignment="1" applyProtection="1">
      <alignment horizontal="left"/>
      <protection locked="0"/>
    </xf>
    <xf numFmtId="166" fontId="1" fillId="0" borderId="27" xfId="9" applyNumberFormat="1" applyBorder="1" applyAlignment="1" applyProtection="1">
      <alignment horizontal="right"/>
      <protection locked="0"/>
    </xf>
    <xf numFmtId="1" fontId="1" fillId="0" borderId="18" xfId="9" applyNumberFormat="1" applyBorder="1" applyAlignment="1" applyProtection="1">
      <alignment horizontal="left"/>
      <protection locked="0"/>
    </xf>
    <xf numFmtId="1" fontId="1" fillId="0" borderId="19" xfId="9" applyNumberFormat="1" applyBorder="1" applyAlignment="1" applyProtection="1">
      <alignment horizontal="left"/>
      <protection locked="0"/>
    </xf>
    <xf numFmtId="165" fontId="1" fillId="0" borderId="17" xfId="9" applyNumberFormat="1" applyBorder="1" applyAlignment="1" applyProtection="1">
      <alignment horizontal="right"/>
      <protection locked="0"/>
    </xf>
    <xf numFmtId="165" fontId="1" fillId="0" borderId="54" xfId="9" applyNumberFormat="1" applyBorder="1" applyAlignment="1" applyProtection="1">
      <alignment horizontal="left"/>
      <protection locked="0"/>
    </xf>
    <xf numFmtId="165" fontId="1" fillId="0" borderId="27" xfId="9" applyNumberFormat="1" applyBorder="1" applyAlignment="1" applyProtection="1">
      <alignment horizontal="right"/>
      <protection locked="0"/>
    </xf>
    <xf numFmtId="165" fontId="1" fillId="0" borderId="19" xfId="9" applyNumberFormat="1" applyBorder="1" applyAlignment="1" applyProtection="1">
      <alignment horizontal="left"/>
      <protection locked="0"/>
    </xf>
    <xf numFmtId="165" fontId="1" fillId="0" borderId="18" xfId="9" applyNumberFormat="1" applyBorder="1" applyAlignment="1" applyProtection="1">
      <alignment horizontal="right"/>
      <protection locked="0"/>
    </xf>
    <xf numFmtId="165" fontId="1" fillId="19" borderId="24" xfId="9" applyNumberFormat="1" applyFill="1" applyBorder="1" applyAlignment="1" applyProtection="1">
      <alignment horizontal="right"/>
      <protection locked="0"/>
    </xf>
    <xf numFmtId="165" fontId="1" fillId="0" borderId="57" xfId="9" applyNumberFormat="1" applyBorder="1" applyAlignment="1" applyProtection="1">
      <alignment horizontal="left"/>
      <protection locked="0"/>
    </xf>
    <xf numFmtId="165" fontId="1" fillId="19" borderId="30" xfId="9" applyNumberFormat="1" applyFill="1" applyBorder="1" applyAlignment="1" applyProtection="1">
      <alignment horizontal="right"/>
      <protection locked="0"/>
    </xf>
    <xf numFmtId="165" fontId="1" fillId="0" borderId="25" xfId="9" applyNumberFormat="1" applyBorder="1" applyAlignment="1" applyProtection="1">
      <alignment horizontal="left"/>
      <protection locked="0"/>
    </xf>
    <xf numFmtId="165" fontId="1" fillId="19" borderId="7" xfId="9" applyNumberFormat="1" applyFill="1" applyBorder="1" applyAlignment="1" applyProtection="1">
      <alignment horizontal="right"/>
      <protection locked="0"/>
    </xf>
    <xf numFmtId="0" fontId="1" fillId="0" borderId="23" xfId="9" applyBorder="1" applyProtection="1">
      <protection locked="0"/>
    </xf>
    <xf numFmtId="1" fontId="1" fillId="19" borderId="20" xfId="9" applyNumberFormat="1" applyFill="1" applyBorder="1" applyAlignment="1" applyProtection="1">
      <alignment horizontal="right"/>
      <protection locked="0"/>
    </xf>
    <xf numFmtId="1" fontId="1" fillId="0" borderId="67" xfId="9" applyNumberFormat="1" applyBorder="1" applyAlignment="1" applyProtection="1">
      <alignment horizontal="left"/>
      <protection locked="0"/>
    </xf>
    <xf numFmtId="1" fontId="1" fillId="19" borderId="68" xfId="9" applyNumberFormat="1" applyFill="1" applyBorder="1" applyAlignment="1" applyProtection="1">
      <alignment horizontal="right"/>
      <protection locked="0"/>
    </xf>
    <xf numFmtId="1" fontId="1" fillId="0" borderId="22" xfId="9" applyNumberFormat="1" applyBorder="1" applyAlignment="1" applyProtection="1">
      <alignment horizontal="left"/>
      <protection locked="0"/>
    </xf>
    <xf numFmtId="1" fontId="1" fillId="19" borderId="21" xfId="9" applyNumberFormat="1" applyFill="1" applyBorder="1" applyAlignment="1" applyProtection="1">
      <alignment horizontal="right"/>
      <protection locked="0"/>
    </xf>
    <xf numFmtId="1" fontId="2" fillId="20" borderId="0" xfId="9" applyNumberFormat="1" applyFont="1" applyFill="1" applyProtection="1">
      <protection locked="0"/>
    </xf>
    <xf numFmtId="165" fontId="2" fillId="20" borderId="0" xfId="9" applyNumberFormat="1" applyFont="1" applyFill="1" applyAlignment="1" applyProtection="1">
      <alignment horizontal="left"/>
      <protection locked="0"/>
    </xf>
    <xf numFmtId="0" fontId="1" fillId="20" borderId="6" xfId="9" applyFill="1" applyBorder="1" applyProtection="1">
      <protection locked="0"/>
    </xf>
    <xf numFmtId="0" fontId="1" fillId="23" borderId="9" xfId="9" applyFill="1" applyBorder="1" applyProtection="1">
      <protection locked="0" hidden="1"/>
    </xf>
    <xf numFmtId="1" fontId="1" fillId="0" borderId="17" xfId="9" applyNumberFormat="1" applyBorder="1" applyProtection="1">
      <protection locked="0"/>
    </xf>
    <xf numFmtId="0" fontId="2" fillId="0" borderId="17" xfId="9" applyFont="1" applyBorder="1" applyProtection="1">
      <protection locked="0"/>
    </xf>
    <xf numFmtId="0" fontId="2" fillId="0" borderId="54" xfId="9" applyFont="1" applyBorder="1" applyProtection="1">
      <protection locked="0"/>
    </xf>
    <xf numFmtId="0" fontId="2" fillId="0" borderId="27" xfId="9" applyFont="1" applyBorder="1" applyProtection="1">
      <protection locked="0"/>
    </xf>
    <xf numFmtId="0" fontId="2" fillId="0" borderId="19" xfId="9" applyFont="1" applyBorder="1" applyProtection="1">
      <protection locked="0"/>
    </xf>
    <xf numFmtId="0" fontId="2" fillId="0" borderId="18" xfId="9" applyFont="1" applyBorder="1" applyProtection="1">
      <protection locked="0"/>
    </xf>
    <xf numFmtId="0" fontId="1" fillId="19" borderId="24" xfId="9" applyFill="1" applyBorder="1" applyProtection="1">
      <protection locked="0"/>
    </xf>
    <xf numFmtId="0" fontId="1" fillId="19" borderId="30" xfId="9" applyFill="1" applyBorder="1" applyProtection="1">
      <protection locked="0"/>
    </xf>
    <xf numFmtId="0" fontId="1" fillId="19" borderId="7" xfId="9" applyFill="1" applyBorder="1" applyProtection="1">
      <protection locked="0"/>
    </xf>
    <xf numFmtId="0" fontId="1" fillId="19" borderId="20" xfId="9" applyFill="1" applyBorder="1" applyProtection="1">
      <protection locked="0"/>
    </xf>
    <xf numFmtId="0" fontId="1" fillId="19" borderId="68" xfId="9" applyFill="1" applyBorder="1" applyProtection="1">
      <protection locked="0"/>
    </xf>
    <xf numFmtId="0" fontId="1" fillId="19" borderId="21" xfId="9" applyFill="1" applyBorder="1" applyProtection="1">
      <protection locked="0"/>
    </xf>
    <xf numFmtId="0" fontId="1" fillId="0" borderId="17" xfId="9" applyBorder="1" applyAlignment="1" applyProtection="1">
      <alignment vertical="top"/>
      <protection locked="0"/>
    </xf>
    <xf numFmtId="0" fontId="1" fillId="0" borderId="0" xfId="9" applyAlignment="1" applyProtection="1">
      <alignment vertical="top" wrapText="1"/>
      <protection locked="0"/>
    </xf>
    <xf numFmtId="168" fontId="2" fillId="0" borderId="0" xfId="9" applyNumberFormat="1" applyFont="1" applyAlignment="1" applyProtection="1">
      <alignment horizontal="center" vertical="top" wrapText="1"/>
      <protection locked="0"/>
    </xf>
    <xf numFmtId="168" fontId="2" fillId="20" borderId="0" xfId="9" applyNumberFormat="1" applyFont="1" applyFill="1" applyAlignment="1" applyProtection="1">
      <alignment horizontal="center" vertical="top" wrapText="1"/>
      <protection locked="0"/>
    </xf>
    <xf numFmtId="0" fontId="1" fillId="20" borderId="4" xfId="9" applyFill="1" applyBorder="1" applyProtection="1">
      <protection locked="0"/>
    </xf>
    <xf numFmtId="0" fontId="35" fillId="0" borderId="0" xfId="9" applyFont="1" applyAlignment="1" applyProtection="1">
      <alignment vertical="center"/>
      <protection locked="0"/>
    </xf>
    <xf numFmtId="0" fontId="11" fillId="0" borderId="0" xfId="9" applyFont="1" applyAlignment="1" applyProtection="1">
      <alignment vertical="center"/>
      <protection locked="0"/>
    </xf>
    <xf numFmtId="0" fontId="5" fillId="4" borderId="12" xfId="9" applyFont="1" applyFill="1" applyBorder="1" applyAlignment="1">
      <alignment vertical="top"/>
    </xf>
    <xf numFmtId="0" fontId="5" fillId="4" borderId="12" xfId="9" applyFont="1" applyFill="1" applyBorder="1"/>
    <xf numFmtId="0" fontId="1" fillId="0" borderId="0" xfId="9"/>
    <xf numFmtId="0" fontId="1" fillId="5" borderId="0" xfId="9" applyFill="1"/>
    <xf numFmtId="0" fontId="1" fillId="5" borderId="0" xfId="9" applyFill="1" applyAlignment="1">
      <alignment horizontal="right"/>
    </xf>
    <xf numFmtId="0" fontId="1" fillId="0" borderId="0" xfId="9" applyAlignment="1">
      <alignment horizontal="left" vertical="top"/>
    </xf>
    <xf numFmtId="0" fontId="1" fillId="0" borderId="0" xfId="9" applyAlignment="1">
      <alignment horizontal="left" vertical="top" wrapText="1"/>
    </xf>
    <xf numFmtId="0" fontId="4" fillId="0" borderId="0" xfId="9" applyFont="1"/>
    <xf numFmtId="49" fontId="4" fillId="0" borderId="0" xfId="9" applyNumberFormat="1" applyFont="1"/>
    <xf numFmtId="49" fontId="1" fillId="0" borderId="0" xfId="9" applyNumberFormat="1"/>
    <xf numFmtId="0" fontId="1" fillId="18" borderId="0" xfId="9" applyFill="1"/>
    <xf numFmtId="0" fontId="1" fillId="19" borderId="24" xfId="9" applyFill="1" applyBorder="1" applyAlignment="1" applyProtection="1">
      <alignment horizontal="right" vertical="top" wrapText="1"/>
      <protection locked="0"/>
    </xf>
    <xf numFmtId="0" fontId="22" fillId="3" borderId="36" xfId="9" applyFont="1" applyFill="1" applyBorder="1" applyAlignment="1" applyProtection="1">
      <alignment vertical="top" wrapText="1"/>
      <protection locked="0"/>
    </xf>
    <xf numFmtId="0" fontId="1" fillId="3" borderId="36" xfId="9" applyFont="1" applyFill="1" applyBorder="1" applyAlignment="1" applyProtection="1">
      <alignment vertical="top" wrapText="1"/>
      <protection locked="0"/>
    </xf>
    <xf numFmtId="0" fontId="1" fillId="19" borderId="52" xfId="9" applyFill="1" applyBorder="1" applyAlignment="1" applyProtection="1">
      <alignment horizontal="right" vertical="top" wrapText="1"/>
      <protection locked="0"/>
    </xf>
    <xf numFmtId="0" fontId="1" fillId="19" borderId="37" xfId="9" applyFill="1" applyBorder="1" applyProtection="1">
      <protection locked="0"/>
    </xf>
    <xf numFmtId="0" fontId="1" fillId="0" borderId="53" xfId="9" applyBorder="1" applyAlignment="1" applyProtection="1">
      <alignment horizontal="left"/>
      <protection locked="0"/>
    </xf>
    <xf numFmtId="0" fontId="1" fillId="0" borderId="0" xfId="10"/>
    <xf numFmtId="0" fontId="1" fillId="0" borderId="0" xfId="10" applyAlignment="1">
      <alignment horizontal="left"/>
    </xf>
    <xf numFmtId="0" fontId="8" fillId="0" borderId="0" xfId="10" applyFont="1"/>
    <xf numFmtId="0" fontId="4" fillId="0" borderId="0" xfId="10" applyFont="1"/>
    <xf numFmtId="0" fontId="1" fillId="0" borderId="0" xfId="10" quotePrefix="1" applyAlignment="1">
      <alignment horizontal="left" indent="2"/>
    </xf>
    <xf numFmtId="0" fontId="1" fillId="0" borderId="0" xfId="10" quotePrefix="1"/>
    <xf numFmtId="0" fontId="1" fillId="0" borderId="0" xfId="10" applyAlignment="1">
      <alignment horizontal="left" vertical="top"/>
    </xf>
    <xf numFmtId="0" fontId="1" fillId="0" borderId="0" xfId="10" quotePrefix="1" applyAlignment="1">
      <alignment horizontal="left"/>
    </xf>
    <xf numFmtId="0" fontId="1" fillId="0" borderId="0" xfId="10" applyAlignment="1">
      <alignment horizontal="left" vertical="top" wrapText="1"/>
    </xf>
    <xf numFmtId="0" fontId="1" fillId="0" borderId="0" xfId="10" quotePrefix="1" applyAlignment="1">
      <alignment horizontal="left" vertical="top" indent="2"/>
    </xf>
    <xf numFmtId="0" fontId="1" fillId="0" borderId="0" xfId="10" quotePrefix="1" applyAlignment="1">
      <alignment horizontal="left" vertical="top" wrapText="1" indent="2"/>
    </xf>
    <xf numFmtId="0" fontId="1" fillId="0" borderId="0" xfId="10" quotePrefix="1" applyAlignment="1">
      <alignment horizontal="left" vertical="top" indent="4"/>
    </xf>
    <xf numFmtId="0" fontId="1" fillId="0" borderId="0" xfId="10" quotePrefix="1" applyAlignment="1">
      <alignment horizontal="left" vertical="top" wrapText="1" indent="4"/>
    </xf>
    <xf numFmtId="0" fontId="1" fillId="0" borderId="0" xfId="10" applyAlignment="1">
      <alignment horizontal="left" indent="2"/>
    </xf>
    <xf numFmtId="0" fontId="1" fillId="0" borderId="0" xfId="10" applyAlignment="1">
      <alignment vertical="top"/>
    </xf>
    <xf numFmtId="0" fontId="1" fillId="0" borderId="0" xfId="10" applyAlignment="1">
      <alignment horizontal="left" indent="1"/>
    </xf>
    <xf numFmtId="0" fontId="1" fillId="2" borderId="0" xfId="10" applyFill="1"/>
    <xf numFmtId="0" fontId="1" fillId="2" borderId="8" xfId="10" applyFill="1" applyBorder="1" applyProtection="1">
      <protection hidden="1"/>
    </xf>
    <xf numFmtId="0" fontId="2" fillId="2" borderId="0" xfId="10" applyFont="1" applyFill="1" applyAlignment="1" applyProtection="1">
      <alignment horizontal="left"/>
      <protection hidden="1"/>
    </xf>
    <xf numFmtId="0" fontId="1" fillId="2" borderId="0" xfId="10" applyFill="1" applyProtection="1">
      <protection hidden="1"/>
    </xf>
    <xf numFmtId="0" fontId="1" fillId="2" borderId="9" xfId="10" applyFill="1" applyBorder="1" applyProtection="1">
      <protection hidden="1"/>
    </xf>
    <xf numFmtId="0" fontId="1" fillId="0" borderId="0" xfId="10" applyProtection="1">
      <protection hidden="1"/>
    </xf>
    <xf numFmtId="0" fontId="1" fillId="2" borderId="0" xfId="10" applyFill="1" applyAlignment="1" applyProtection="1">
      <alignment horizontal="left" indent="1"/>
      <protection hidden="1"/>
    </xf>
    <xf numFmtId="0" fontId="1" fillId="2" borderId="0" xfId="10" applyFill="1" applyAlignment="1" applyProtection="1">
      <alignment horizontal="center"/>
      <protection hidden="1"/>
    </xf>
    <xf numFmtId="0" fontId="1" fillId="2" borderId="0" xfId="10" quotePrefix="1" applyFill="1" applyAlignment="1" applyProtection="1">
      <alignment horizontal="right" indent="1"/>
      <protection hidden="1"/>
    </xf>
    <xf numFmtId="0" fontId="1" fillId="2" borderId="0" xfId="10" applyFill="1" applyAlignment="1" applyProtection="1">
      <alignment horizontal="right"/>
      <protection hidden="1"/>
    </xf>
    <xf numFmtId="0" fontId="1" fillId="2" borderId="0" xfId="10" applyFill="1" applyAlignment="1" applyProtection="1">
      <alignment horizontal="left"/>
      <protection hidden="1"/>
    </xf>
    <xf numFmtId="0" fontId="1" fillId="2" borderId="0" xfId="10" quotePrefix="1" applyFill="1" applyAlignment="1" applyProtection="1">
      <alignment horizontal="center"/>
      <protection hidden="1"/>
    </xf>
    <xf numFmtId="0" fontId="1" fillId="2" borderId="0" xfId="10" quotePrefix="1" applyFill="1" applyAlignment="1" applyProtection="1">
      <alignment horizontal="left" indent="1"/>
      <protection hidden="1"/>
    </xf>
    <xf numFmtId="0" fontId="1" fillId="2" borderId="4" xfId="10" applyFill="1" applyBorder="1" applyAlignment="1" applyProtection="1">
      <alignment horizontal="center"/>
      <protection locked="0" hidden="1"/>
    </xf>
    <xf numFmtId="0" fontId="1" fillId="2" borderId="0" xfId="10" applyFill="1" applyAlignment="1" applyProtection="1">
      <alignment horizontal="center"/>
      <protection locked="0" hidden="1"/>
    </xf>
    <xf numFmtId="0" fontId="1" fillId="2" borderId="0" xfId="10" quotePrefix="1" applyFill="1" applyAlignment="1" applyProtection="1">
      <alignment horizontal="left"/>
      <protection hidden="1"/>
    </xf>
    <xf numFmtId="0" fontId="1" fillId="2" borderId="8" xfId="10" applyFill="1" applyBorder="1"/>
    <xf numFmtId="0" fontId="1" fillId="2" borderId="9" xfId="10" applyFill="1" applyBorder="1"/>
    <xf numFmtId="0" fontId="1" fillId="2" borderId="0" xfId="10" applyFill="1" applyAlignment="1">
      <alignment horizontal="right"/>
    </xf>
    <xf numFmtId="0" fontId="1" fillId="2" borderId="0" xfId="10" applyFill="1" applyAlignment="1">
      <alignment horizontal="center"/>
    </xf>
    <xf numFmtId="0" fontId="1" fillId="0" borderId="8" xfId="10" applyBorder="1"/>
    <xf numFmtId="0" fontId="1" fillId="0" borderId="9" xfId="10" applyBorder="1"/>
    <xf numFmtId="0" fontId="5" fillId="4" borderId="10" xfId="10" applyFont="1" applyFill="1" applyBorder="1" applyAlignment="1">
      <alignment vertical="top"/>
    </xf>
    <xf numFmtId="0" fontId="5" fillId="4" borderId="11" xfId="10" applyFont="1" applyFill="1" applyBorder="1" applyAlignment="1">
      <alignment vertical="top"/>
    </xf>
    <xf numFmtId="0" fontId="5" fillId="4" borderId="12" xfId="10" applyFont="1" applyFill="1" applyBorder="1" applyAlignment="1">
      <alignment vertical="top" wrapText="1"/>
    </xf>
    <xf numFmtId="0" fontId="5" fillId="4" borderId="13" xfId="10" applyFont="1" applyFill="1" applyBorder="1" applyAlignment="1">
      <alignment vertical="top" wrapText="1"/>
    </xf>
    <xf numFmtId="0" fontId="5" fillId="0" borderId="0" xfId="10" applyFont="1" applyAlignment="1">
      <alignment vertical="top" wrapText="1"/>
    </xf>
    <xf numFmtId="0" fontId="5" fillId="0" borderId="9" xfId="10" applyFont="1" applyBorder="1" applyAlignment="1">
      <alignment vertical="top" wrapText="1"/>
    </xf>
    <xf numFmtId="0" fontId="5" fillId="4" borderId="14" xfId="10" applyFont="1" applyFill="1" applyBorder="1" applyAlignment="1">
      <alignment vertical="top"/>
    </xf>
    <xf numFmtId="0" fontId="9" fillId="3" borderId="0" xfId="10" applyFont="1" applyFill="1"/>
    <xf numFmtId="0" fontId="1" fillId="3" borderId="0" xfId="10" applyFill="1"/>
    <xf numFmtId="0" fontId="1" fillId="3" borderId="0" xfId="10" applyFill="1" applyAlignment="1">
      <alignment horizontal="left" indent="1"/>
    </xf>
    <xf numFmtId="0" fontId="1" fillId="3" borderId="0" xfId="10" applyFill="1" applyAlignment="1">
      <alignment horizontal="right"/>
    </xf>
    <xf numFmtId="0" fontId="1" fillId="3" borderId="0" xfId="10" applyFill="1" applyAlignment="1">
      <alignment horizontal="left"/>
    </xf>
    <xf numFmtId="2" fontId="1" fillId="0" borderId="0" xfId="10" applyNumberFormat="1"/>
    <xf numFmtId="0" fontId="1" fillId="0" borderId="0" xfId="10" applyAlignment="1">
      <alignment horizontal="right"/>
    </xf>
    <xf numFmtId="0" fontId="1" fillId="0" borderId="0" xfId="10" quotePrefix="1" applyAlignment="1">
      <alignment horizontal="center"/>
    </xf>
    <xf numFmtId="166" fontId="1" fillId="2" borderId="0" xfId="10" applyNumberFormat="1" applyFill="1" applyAlignment="1" applyProtection="1">
      <alignment horizontal="right"/>
      <protection hidden="1"/>
    </xf>
    <xf numFmtId="0" fontId="10" fillId="2" borderId="8" xfId="10" applyFont="1" applyFill="1" applyBorder="1" applyProtection="1">
      <protection hidden="1"/>
    </xf>
    <xf numFmtId="0" fontId="10" fillId="2" borderId="0" xfId="10" applyFont="1" applyFill="1" applyAlignment="1" applyProtection="1">
      <alignment horizontal="left" indent="1"/>
      <protection hidden="1"/>
    </xf>
    <xf numFmtId="0" fontId="10" fillId="2" borderId="0" xfId="10" applyFont="1" applyFill="1" applyAlignment="1" applyProtection="1">
      <alignment horizontal="center"/>
      <protection hidden="1"/>
    </xf>
    <xf numFmtId="166" fontId="10" fillId="2" borderId="0" xfId="10" applyNumberFormat="1" applyFont="1" applyFill="1" applyAlignment="1" applyProtection="1">
      <alignment horizontal="right"/>
      <protection hidden="1"/>
    </xf>
    <xf numFmtId="0" fontId="10" fillId="2" borderId="0" xfId="10" applyFont="1" applyFill="1" applyAlignment="1" applyProtection="1">
      <alignment horizontal="left"/>
      <protection hidden="1"/>
    </xf>
    <xf numFmtId="0" fontId="10" fillId="2" borderId="9" xfId="10" applyFont="1" applyFill="1" applyBorder="1" applyProtection="1">
      <protection hidden="1"/>
    </xf>
    <xf numFmtId="0" fontId="10" fillId="0" borderId="0" xfId="10" applyFont="1" applyProtection="1">
      <protection hidden="1"/>
    </xf>
    <xf numFmtId="1" fontId="1" fillId="2" borderId="0" xfId="10" applyNumberFormat="1" applyFill="1" applyAlignment="1" applyProtection="1">
      <alignment horizontal="right"/>
      <protection hidden="1"/>
    </xf>
    <xf numFmtId="0" fontId="2" fillId="0" borderId="8" xfId="10" applyFont="1" applyBorder="1"/>
    <xf numFmtId="0" fontId="2" fillId="4" borderId="15" xfId="10" applyFont="1" applyFill="1" applyBorder="1" applyAlignment="1">
      <alignment horizontal="center" vertical="center"/>
    </xf>
    <xf numFmtId="0" fontId="5" fillId="0" borderId="9" xfId="10" applyFont="1" applyBorder="1"/>
    <xf numFmtId="0" fontId="2" fillId="0" borderId="0" xfId="10" applyFont="1"/>
    <xf numFmtId="0" fontId="1" fillId="0" borderId="11" xfId="10" applyBorder="1" applyAlignment="1">
      <alignment vertical="top" wrapText="1"/>
    </xf>
    <xf numFmtId="0" fontId="1" fillId="0" borderId="12" xfId="10" applyBorder="1" applyAlignment="1">
      <alignment vertical="top" wrapText="1"/>
    </xf>
    <xf numFmtId="0" fontId="1" fillId="0" borderId="13" xfId="10" applyBorder="1" applyAlignment="1">
      <alignment vertical="top" wrapText="1"/>
    </xf>
    <xf numFmtId="166" fontId="1" fillId="3" borderId="12" xfId="10" quotePrefix="1" applyNumberFormat="1" applyFill="1" applyBorder="1"/>
    <xf numFmtId="0" fontId="1" fillId="0" borderId="12" xfId="10" applyBorder="1"/>
    <xf numFmtId="166" fontId="1" fillId="3" borderId="11" xfId="10" applyNumberFormat="1" applyFill="1" applyBorder="1"/>
    <xf numFmtId="0" fontId="1" fillId="0" borderId="13" xfId="10" applyBorder="1"/>
    <xf numFmtId="166" fontId="1" fillId="0" borderId="0" xfId="10" applyNumberFormat="1"/>
    <xf numFmtId="0" fontId="5" fillId="4" borderId="12" xfId="10" applyFont="1" applyFill="1" applyBorder="1" applyAlignment="1">
      <alignment vertical="top"/>
    </xf>
    <xf numFmtId="0" fontId="1" fillId="0" borderId="11" xfId="10" applyBorder="1"/>
    <xf numFmtId="166" fontId="1" fillId="5" borderId="11" xfId="10" applyNumberFormat="1" applyFill="1" applyBorder="1" applyProtection="1">
      <protection locked="0"/>
    </xf>
    <xf numFmtId="0" fontId="1" fillId="0" borderId="14" xfId="10" applyBorder="1" applyAlignment="1">
      <alignment horizontal="left"/>
    </xf>
    <xf numFmtId="0" fontId="1" fillId="0" borderId="6" xfId="10" applyBorder="1" applyAlignment="1">
      <alignment horizontal="left"/>
    </xf>
    <xf numFmtId="0" fontId="1" fillId="0" borderId="16" xfId="10" applyBorder="1" applyAlignment="1">
      <alignment horizontal="left"/>
    </xf>
    <xf numFmtId="0" fontId="1" fillId="0" borderId="6" xfId="10" applyBorder="1"/>
    <xf numFmtId="0" fontId="1" fillId="0" borderId="0" xfId="10" quotePrefix="1" applyAlignment="1">
      <alignment horizontal="left" indent="1"/>
    </xf>
    <xf numFmtId="0" fontId="1" fillId="0" borderId="17" xfId="10" applyBorder="1"/>
    <xf numFmtId="0" fontId="1" fillId="0" borderId="18" xfId="10" applyBorder="1"/>
    <xf numFmtId="0" fontId="1" fillId="0" borderId="19" xfId="10" applyBorder="1"/>
    <xf numFmtId="166" fontId="1" fillId="0" borderId="17" xfId="10" applyNumberFormat="1" applyBorder="1"/>
    <xf numFmtId="166" fontId="1" fillId="5" borderId="17" xfId="10" applyNumberFormat="1" applyFill="1" applyBorder="1"/>
    <xf numFmtId="0" fontId="1" fillId="0" borderId="35" xfId="10" applyBorder="1" applyAlignment="1">
      <alignment vertical="top" wrapText="1"/>
    </xf>
    <xf numFmtId="0" fontId="1" fillId="0" borderId="20" xfId="10" applyBorder="1" applyAlignment="1">
      <alignment horizontal="left"/>
    </xf>
    <xf numFmtId="0" fontId="1" fillId="0" borderId="21" xfId="10" applyBorder="1" applyAlignment="1">
      <alignment horizontal="left"/>
    </xf>
    <xf numFmtId="0" fontId="1" fillId="0" borderId="22" xfId="10" applyBorder="1" applyAlignment="1">
      <alignment horizontal="left"/>
    </xf>
    <xf numFmtId="166" fontId="1" fillId="5" borderId="20" xfId="10" applyNumberFormat="1" applyFill="1" applyBorder="1"/>
    <xf numFmtId="0" fontId="1" fillId="0" borderId="22" xfId="10" applyBorder="1"/>
    <xf numFmtId="0" fontId="1" fillId="0" borderId="23" xfId="10" applyBorder="1" applyAlignment="1">
      <alignment vertical="top" wrapText="1"/>
    </xf>
    <xf numFmtId="0" fontId="2" fillId="4" borderId="38" xfId="10" applyFont="1" applyFill="1" applyBorder="1" applyAlignment="1">
      <alignment horizontal="center" vertical="center"/>
    </xf>
    <xf numFmtId="166" fontId="1" fillId="5" borderId="17" xfId="10" applyNumberFormat="1" applyFill="1" applyBorder="1" applyProtection="1">
      <protection locked="0"/>
    </xf>
    <xf numFmtId="0" fontId="18" fillId="0" borderId="23" xfId="10" applyFont="1" applyBorder="1" applyAlignment="1">
      <alignment wrapText="1"/>
    </xf>
    <xf numFmtId="0" fontId="1" fillId="0" borderId="24" xfId="10" applyBorder="1"/>
    <xf numFmtId="0" fontId="1" fillId="0" borderId="25" xfId="10" applyBorder="1"/>
    <xf numFmtId="166" fontId="1" fillId="5" borderId="24" xfId="10" applyNumberFormat="1" applyFill="1" applyBorder="1"/>
    <xf numFmtId="0" fontId="18" fillId="0" borderId="61" xfId="10" applyFont="1" applyBorder="1" applyAlignment="1">
      <alignment wrapText="1"/>
    </xf>
    <xf numFmtId="0" fontId="1" fillId="0" borderId="20" xfId="10" applyBorder="1"/>
    <xf numFmtId="0" fontId="18" fillId="0" borderId="62" xfId="10" applyFont="1" applyBorder="1" applyAlignment="1">
      <alignment wrapText="1"/>
    </xf>
    <xf numFmtId="0" fontId="1" fillId="0" borderId="52" xfId="10" applyBorder="1"/>
    <xf numFmtId="0" fontId="1" fillId="0" borderId="53" xfId="10" applyBorder="1"/>
    <xf numFmtId="166" fontId="1" fillId="5" borderId="52" xfId="10" applyNumberFormat="1" applyFill="1" applyBorder="1"/>
    <xf numFmtId="0" fontId="1" fillId="0" borderId="61" xfId="10" applyBorder="1" applyAlignment="1">
      <alignment horizontal="left" vertical="top" wrapText="1"/>
    </xf>
    <xf numFmtId="0" fontId="1" fillId="0" borderId="40" xfId="10" applyBorder="1" applyAlignment="1">
      <alignment horizontal="left" vertical="top" wrapText="1"/>
    </xf>
    <xf numFmtId="0" fontId="1" fillId="2" borderId="0" xfId="10" quotePrefix="1" applyFill="1" applyAlignment="1">
      <alignment horizontal="left" indent="1"/>
    </xf>
    <xf numFmtId="0" fontId="1" fillId="0" borderId="26" xfId="10" applyBorder="1"/>
    <xf numFmtId="0" fontId="1" fillId="0" borderId="27" xfId="10" applyBorder="1"/>
    <xf numFmtId="0" fontId="1" fillId="5" borderId="26" xfId="10" applyFill="1" applyBorder="1"/>
    <xf numFmtId="0" fontId="1" fillId="0" borderId="28" xfId="10" applyBorder="1"/>
    <xf numFmtId="2" fontId="1" fillId="3" borderId="17" xfId="10" applyNumberFormat="1" applyFill="1" applyBorder="1"/>
    <xf numFmtId="0" fontId="1" fillId="0" borderId="29" xfId="10" applyBorder="1"/>
    <xf numFmtId="0" fontId="1" fillId="0" borderId="30" xfId="10" applyBorder="1"/>
    <xf numFmtId="0" fontId="1" fillId="5" borderId="29" xfId="10" applyFill="1" applyBorder="1"/>
    <xf numFmtId="0" fontId="1" fillId="0" borderId="31" xfId="10" applyBorder="1"/>
    <xf numFmtId="2" fontId="1" fillId="3" borderId="24" xfId="10" applyNumberFormat="1" applyFill="1" applyBorder="1"/>
    <xf numFmtId="0" fontId="1" fillId="0" borderId="32" xfId="10" applyBorder="1"/>
    <xf numFmtId="0" fontId="1" fillId="0" borderId="33" xfId="10" applyBorder="1"/>
    <xf numFmtId="0" fontId="1" fillId="5" borderId="32" xfId="10" applyFill="1" applyBorder="1"/>
    <xf numFmtId="0" fontId="1" fillId="0" borderId="34" xfId="10" applyBorder="1"/>
    <xf numFmtId="2" fontId="1" fillId="3" borderId="14" xfId="10" applyNumberFormat="1" applyFill="1" applyBorder="1"/>
    <xf numFmtId="0" fontId="1" fillId="0" borderId="16" xfId="10" applyBorder="1"/>
    <xf numFmtId="0" fontId="1" fillId="0" borderId="35" xfId="10" applyBorder="1"/>
    <xf numFmtId="0" fontId="1" fillId="0" borderId="20" xfId="10" applyBorder="1" applyAlignment="1">
      <alignment vertical="top" wrapText="1"/>
    </xf>
    <xf numFmtId="0" fontId="1" fillId="21" borderId="22" xfId="10" applyFill="1" applyBorder="1" applyAlignment="1">
      <alignment vertical="top" wrapText="1"/>
    </xf>
    <xf numFmtId="2" fontId="1" fillId="3" borderId="20" xfId="10" applyNumberFormat="1" applyFill="1" applyBorder="1"/>
    <xf numFmtId="0" fontId="1" fillId="0" borderId="23" xfId="10" applyBorder="1"/>
    <xf numFmtId="0" fontId="1" fillId="0" borderId="0" xfId="10" applyAlignment="1">
      <alignment vertical="top" wrapText="1"/>
    </xf>
    <xf numFmtId="0" fontId="5" fillId="4" borderId="37" xfId="10" applyFont="1" applyFill="1" applyBorder="1" applyAlignment="1">
      <alignment vertical="top"/>
    </xf>
    <xf numFmtId="0" fontId="1" fillId="0" borderId="10" xfId="10" applyBorder="1"/>
    <xf numFmtId="0" fontId="1" fillId="0" borderId="39" xfId="10" applyBorder="1" applyAlignment="1">
      <alignment vertical="top" wrapText="1"/>
    </xf>
    <xf numFmtId="0" fontId="1" fillId="5" borderId="10" xfId="10" applyFill="1" applyBorder="1"/>
    <xf numFmtId="0" fontId="1" fillId="0" borderId="39" xfId="10" applyBorder="1"/>
    <xf numFmtId="166" fontId="1" fillId="5" borderId="10" xfId="10" applyNumberFormat="1" applyFill="1" applyBorder="1"/>
    <xf numFmtId="0" fontId="1" fillId="0" borderId="38" xfId="10" applyBorder="1" applyAlignment="1">
      <alignment wrapText="1"/>
    </xf>
    <xf numFmtId="0" fontId="1" fillId="0" borderId="14" xfId="10" applyBorder="1"/>
    <xf numFmtId="0" fontId="1" fillId="0" borderId="16" xfId="10" applyBorder="1" applyAlignment="1">
      <alignment vertical="top" wrapText="1"/>
    </xf>
    <xf numFmtId="166" fontId="1" fillId="0" borderId="14" xfId="10" applyNumberFormat="1" applyBorder="1"/>
    <xf numFmtId="0" fontId="1" fillId="0" borderId="40" xfId="10" applyBorder="1" applyAlignment="1">
      <alignment wrapText="1"/>
    </xf>
    <xf numFmtId="0" fontId="1" fillId="5" borderId="17" xfId="10" applyFill="1" applyBorder="1"/>
    <xf numFmtId="166" fontId="1" fillId="3" borderId="17" xfId="10" applyNumberFormat="1" applyFill="1" applyBorder="1"/>
    <xf numFmtId="0" fontId="1" fillId="0" borderId="24" xfId="10" applyBorder="1" applyAlignment="1">
      <alignment vertical="top" wrapText="1"/>
    </xf>
    <xf numFmtId="0" fontId="1" fillId="0" borderId="36" xfId="10" applyBorder="1"/>
    <xf numFmtId="0" fontId="1" fillId="21" borderId="13" xfId="10" applyFill="1" applyBorder="1" applyAlignment="1">
      <alignment vertical="top" wrapText="1"/>
    </xf>
    <xf numFmtId="2" fontId="1" fillId="3" borderId="12" xfId="10" applyNumberFormat="1" applyFill="1" applyBorder="1"/>
    <xf numFmtId="0" fontId="1" fillId="3" borderId="13" xfId="10" applyFill="1" applyBorder="1"/>
    <xf numFmtId="2" fontId="1" fillId="3" borderId="11" xfId="10" applyNumberFormat="1" applyFill="1" applyBorder="1"/>
    <xf numFmtId="0" fontId="1" fillId="0" borderId="15" xfId="10" applyBorder="1" applyAlignment="1">
      <alignment wrapText="1"/>
    </xf>
    <xf numFmtId="0" fontId="1" fillId="0" borderId="40" xfId="10" applyBorder="1"/>
    <xf numFmtId="166" fontId="1" fillId="18" borderId="24" xfId="10" applyNumberFormat="1" applyFill="1" applyBorder="1" applyProtection="1">
      <protection locked="0"/>
    </xf>
    <xf numFmtId="166" fontId="1" fillId="5" borderId="24" xfId="10" applyNumberFormat="1" applyFill="1" applyBorder="1" applyProtection="1">
      <protection locked="0"/>
    </xf>
    <xf numFmtId="166" fontId="1" fillId="18" borderId="41" xfId="10" applyNumberFormat="1" applyFill="1" applyBorder="1" applyProtection="1">
      <protection locked="0"/>
    </xf>
    <xf numFmtId="166" fontId="1" fillId="18" borderId="14" xfId="10" applyNumberFormat="1" applyFill="1" applyBorder="1" applyProtection="1">
      <protection locked="0"/>
    </xf>
    <xf numFmtId="166" fontId="1" fillId="5" borderId="20" xfId="10" applyNumberFormat="1" applyFill="1" applyBorder="1" applyProtection="1">
      <protection locked="0"/>
    </xf>
    <xf numFmtId="0" fontId="1" fillId="0" borderId="11" xfId="10" applyBorder="1" applyAlignment="1">
      <alignment horizontal="left"/>
    </xf>
    <xf numFmtId="0" fontId="1" fillId="0" borderId="12" xfId="10" applyBorder="1" applyAlignment="1">
      <alignment horizontal="left"/>
    </xf>
    <xf numFmtId="2" fontId="1" fillId="2" borderId="0" xfId="10" applyNumberFormat="1" applyFill="1"/>
    <xf numFmtId="2" fontId="1" fillId="15" borderId="0" xfId="10" applyNumberFormat="1" applyFill="1"/>
    <xf numFmtId="0" fontId="1" fillId="0" borderId="19" xfId="10" applyBorder="1" applyAlignment="1">
      <alignment vertical="top" wrapText="1"/>
    </xf>
    <xf numFmtId="2" fontId="1" fillId="0" borderId="35" xfId="10" applyNumberFormat="1" applyBorder="1"/>
    <xf numFmtId="0" fontId="1" fillId="0" borderId="22" xfId="10" applyBorder="1" applyAlignment="1">
      <alignment vertical="top" wrapText="1"/>
    </xf>
    <xf numFmtId="0" fontId="1" fillId="5" borderId="20" xfId="10" applyFill="1" applyBorder="1"/>
    <xf numFmtId="2" fontId="1" fillId="0" borderId="23" xfId="10" applyNumberFormat="1" applyBorder="1"/>
    <xf numFmtId="0" fontId="1" fillId="15" borderId="0" xfId="10" applyFill="1" applyAlignment="1" applyProtection="1">
      <alignment horizontal="center"/>
      <protection hidden="1"/>
    </xf>
    <xf numFmtId="0" fontId="1" fillId="0" borderId="15" xfId="10" applyBorder="1"/>
    <xf numFmtId="0" fontId="1" fillId="0" borderId="37" xfId="10" applyBorder="1"/>
    <xf numFmtId="0" fontId="1" fillId="5" borderId="17" xfId="10" applyFill="1" applyBorder="1" applyProtection="1">
      <protection locked="0"/>
    </xf>
    <xf numFmtId="0" fontId="1" fillId="5" borderId="20" xfId="10" applyFill="1" applyBorder="1" applyProtection="1">
      <protection locked="0"/>
    </xf>
    <xf numFmtId="165" fontId="1" fillId="3" borderId="24" xfId="10" applyNumberFormat="1" applyFill="1" applyBorder="1"/>
    <xf numFmtId="0" fontId="1" fillId="3" borderId="22" xfId="10" applyFill="1" applyBorder="1"/>
    <xf numFmtId="1" fontId="1" fillId="3" borderId="20" xfId="10" applyNumberFormat="1" applyFill="1" applyBorder="1" applyAlignment="1">
      <alignment horizontal="right"/>
    </xf>
    <xf numFmtId="165" fontId="1" fillId="21" borderId="23" xfId="10" applyNumberFormat="1" applyFill="1" applyBorder="1"/>
    <xf numFmtId="1" fontId="1" fillId="0" borderId="0" xfId="10" applyNumberFormat="1" applyAlignment="1">
      <alignment horizontal="right"/>
    </xf>
    <xf numFmtId="165" fontId="1" fillId="0" borderId="0" xfId="10" applyNumberFormat="1"/>
    <xf numFmtId="0" fontId="1" fillId="0" borderId="41" xfId="10" applyBorder="1"/>
    <xf numFmtId="0" fontId="1" fillId="3" borderId="42" xfId="10" applyFill="1" applyBorder="1"/>
    <xf numFmtId="0" fontId="1" fillId="0" borderId="42" xfId="10" applyBorder="1"/>
    <xf numFmtId="1" fontId="1" fillId="3" borderId="41" xfId="10" applyNumberFormat="1" applyFill="1" applyBorder="1" applyAlignment="1">
      <alignment horizontal="right"/>
    </xf>
    <xf numFmtId="0" fontId="1" fillId="0" borderId="43" xfId="10" applyBorder="1"/>
    <xf numFmtId="165" fontId="1" fillId="3" borderId="23" xfId="10" applyNumberFormat="1" applyFill="1" applyBorder="1"/>
    <xf numFmtId="0" fontId="5" fillId="0" borderId="0" xfId="10" applyFont="1"/>
    <xf numFmtId="0" fontId="5" fillId="0" borderId="15" xfId="10" applyFont="1" applyBorder="1"/>
    <xf numFmtId="0" fontId="9" fillId="0" borderId="0" xfId="10" applyFont="1"/>
    <xf numFmtId="0" fontId="11" fillId="0" borderId="0" xfId="10" applyFont="1" applyAlignment="1">
      <alignment vertical="center"/>
    </xf>
    <xf numFmtId="0" fontId="1" fillId="0" borderId="0" xfId="10" applyProtection="1">
      <protection locked="0"/>
    </xf>
    <xf numFmtId="0" fontId="12" fillId="0" borderId="0" xfId="10" applyFont="1"/>
    <xf numFmtId="0" fontId="12" fillId="0" borderId="0" xfId="10" applyFont="1" applyProtection="1">
      <protection locked="0"/>
    </xf>
    <xf numFmtId="0" fontId="1" fillId="0" borderId="15" xfId="0" applyNumberFormat="1" applyFont="1" applyBorder="1"/>
    <xf numFmtId="0" fontId="5" fillId="4" borderId="12" xfId="10" applyFont="1" applyFill="1" applyBorder="1" applyAlignment="1">
      <alignment vertical="top"/>
    </xf>
    <xf numFmtId="0" fontId="1" fillId="0" borderId="0" xfId="10" applyAlignment="1">
      <alignment horizontal="center"/>
    </xf>
    <xf numFmtId="0" fontId="1" fillId="9" borderId="0" xfId="10" applyFill="1" applyAlignment="1">
      <alignment horizontal="center"/>
    </xf>
    <xf numFmtId="0" fontId="1" fillId="5" borderId="0" xfId="10" applyFill="1" applyAlignment="1">
      <alignment horizontal="center"/>
    </xf>
    <xf numFmtId="0" fontId="1" fillId="10" borderId="0" xfId="10" applyFill="1" applyAlignment="1">
      <alignment horizontal="center"/>
    </xf>
    <xf numFmtId="0" fontId="1" fillId="11" borderId="0" xfId="10" applyFill="1" applyAlignment="1">
      <alignment horizontal="center"/>
    </xf>
    <xf numFmtId="0" fontId="1" fillId="12" borderId="0" xfId="10" applyFill="1" applyAlignment="1">
      <alignment horizontal="center"/>
    </xf>
    <xf numFmtId="0" fontId="5" fillId="4" borderId="12" xfId="10" applyFont="1" applyFill="1" applyBorder="1"/>
    <xf numFmtId="0" fontId="1" fillId="4" borderId="12" xfId="10" applyFill="1" applyBorder="1"/>
    <xf numFmtId="0" fontId="1" fillId="4" borderId="6" xfId="10" applyFill="1" applyBorder="1"/>
    <xf numFmtId="0" fontId="10" fillId="0" borderId="0" xfId="10" applyFont="1"/>
    <xf numFmtId="166" fontId="10" fillId="0" borderId="0" xfId="10" applyNumberFormat="1" applyFont="1"/>
    <xf numFmtId="166" fontId="10" fillId="0" borderId="0" xfId="10" applyNumberFormat="1" applyFont="1" applyAlignment="1">
      <alignment horizontal="right"/>
    </xf>
    <xf numFmtId="0" fontId="10" fillId="0" borderId="0" xfId="10" applyFont="1" applyAlignment="1">
      <alignment horizontal="left"/>
    </xf>
    <xf numFmtId="0" fontId="10" fillId="0" borderId="0" xfId="10" applyFont="1" applyAlignment="1" applyProtection="1">
      <alignment horizontal="left" indent="1"/>
      <protection hidden="1"/>
    </xf>
    <xf numFmtId="166" fontId="10" fillId="0" borderId="0" xfId="10" applyNumberFormat="1" applyFont="1" applyAlignment="1" applyProtection="1">
      <alignment horizontal="right"/>
      <protection hidden="1"/>
    </xf>
    <xf numFmtId="0" fontId="10" fillId="0" borderId="0" xfId="10" applyFont="1" applyAlignment="1" applyProtection="1">
      <alignment horizontal="left"/>
      <protection hidden="1"/>
    </xf>
    <xf numFmtId="166" fontId="1" fillId="5" borderId="0" xfId="10" applyNumberFormat="1" applyFill="1" applyAlignment="1">
      <alignment horizontal="right"/>
    </xf>
    <xf numFmtId="0" fontId="1" fillId="5" borderId="0" xfId="10" applyFill="1"/>
    <xf numFmtId="0" fontId="5" fillId="4" borderId="6" xfId="10" applyFont="1" applyFill="1" applyBorder="1" applyAlignment="1">
      <alignment vertical="top"/>
    </xf>
    <xf numFmtId="0" fontId="5" fillId="4" borderId="6" xfId="10" applyFont="1" applyFill="1" applyBorder="1"/>
    <xf numFmtId="0" fontId="2" fillId="0" borderId="0" xfId="10" applyFont="1" applyAlignment="1" applyProtection="1">
      <alignment horizontal="center"/>
      <protection locked="0"/>
    </xf>
    <xf numFmtId="0" fontId="2" fillId="0" borderId="0" xfId="10" applyFont="1" applyAlignment="1">
      <alignment horizontal="center"/>
    </xf>
    <xf numFmtId="2" fontId="2" fillId="0" borderId="0" xfId="10" applyNumberFormat="1" applyFont="1" applyAlignment="1">
      <alignment horizontal="center"/>
    </xf>
    <xf numFmtId="0" fontId="2" fillId="0" borderId="6" xfId="10" applyFont="1" applyBorder="1" applyAlignment="1">
      <alignment vertical="top" wrapText="1"/>
    </xf>
    <xf numFmtId="0" fontId="1" fillId="0" borderId="6" xfId="10" applyBorder="1" applyAlignment="1">
      <alignment horizontal="center"/>
    </xf>
    <xf numFmtId="0" fontId="2" fillId="4" borderId="2" xfId="10" applyFont="1" applyFill="1" applyBorder="1"/>
    <xf numFmtId="0" fontId="1" fillId="4" borderId="2" xfId="10" applyFill="1" applyBorder="1"/>
    <xf numFmtId="0" fontId="1" fillId="4" borderId="2" xfId="10" applyFill="1" applyBorder="1" applyAlignment="1">
      <alignment horizontal="center"/>
    </xf>
    <xf numFmtId="2" fontId="1" fillId="4" borderId="2" xfId="10" applyNumberFormat="1" applyFill="1" applyBorder="1" applyAlignment="1">
      <alignment horizontal="center"/>
    </xf>
    <xf numFmtId="0" fontId="1" fillId="4" borderId="2" xfId="10" applyFill="1" applyBorder="1" applyAlignment="1" applyProtection="1">
      <alignment horizontal="center"/>
      <protection locked="0"/>
    </xf>
    <xf numFmtId="166" fontId="1" fillId="10" borderId="0" xfId="10" applyNumberFormat="1" applyFill="1"/>
    <xf numFmtId="9" fontId="1" fillId="0" borderId="0" xfId="10" applyNumberFormat="1" applyAlignment="1">
      <alignment horizontal="center"/>
    </xf>
    <xf numFmtId="2" fontId="1" fillId="11" borderId="0" xfId="10" applyNumberFormat="1" applyFill="1"/>
    <xf numFmtId="0" fontId="2" fillId="0" borderId="44" xfId="10" applyFont="1" applyBorder="1" applyAlignment="1">
      <alignment horizontal="center"/>
    </xf>
    <xf numFmtId="0" fontId="2" fillId="0" borderId="45" xfId="10" applyFont="1" applyBorder="1" applyAlignment="1">
      <alignment horizontal="center"/>
    </xf>
    <xf numFmtId="2" fontId="1" fillId="0" borderId="0" xfId="10" applyNumberFormat="1" applyAlignment="1">
      <alignment horizontal="center"/>
    </xf>
    <xf numFmtId="166" fontId="1" fillId="11" borderId="46" xfId="10" applyNumberFormat="1" applyFill="1" applyBorder="1"/>
    <xf numFmtId="166" fontId="1" fillId="11" borderId="47" xfId="10" applyNumberFormat="1" applyFill="1" applyBorder="1"/>
    <xf numFmtId="166" fontId="1" fillId="11" borderId="0" xfId="10" applyNumberFormat="1" applyFill="1"/>
    <xf numFmtId="0" fontId="2" fillId="0" borderId="0" xfId="10" applyFont="1" applyAlignment="1">
      <alignment vertical="top" wrapText="1"/>
    </xf>
    <xf numFmtId="0" fontId="19" fillId="0" borderId="0" xfId="10" applyFont="1"/>
    <xf numFmtId="2" fontId="1" fillId="11" borderId="46" xfId="10" applyNumberFormat="1" applyFill="1" applyBorder="1"/>
    <xf numFmtId="2" fontId="1" fillId="11" borderId="47" xfId="10" applyNumberFormat="1" applyFill="1" applyBorder="1"/>
    <xf numFmtId="166" fontId="1" fillId="0" borderId="0" xfId="10" applyNumberFormat="1" applyAlignment="1">
      <alignment horizontal="center"/>
    </xf>
    <xf numFmtId="166" fontId="1" fillId="12" borderId="0" xfId="10" applyNumberFormat="1" applyFill="1"/>
    <xf numFmtId="0" fontId="1" fillId="10" borderId="0" xfId="10" applyFill="1" applyAlignment="1" applyProtection="1">
      <alignment horizontal="center"/>
      <protection locked="0"/>
    </xf>
    <xf numFmtId="166" fontId="1" fillId="0" borderId="0" xfId="10" applyNumberFormat="1" applyAlignment="1">
      <alignment horizontal="left" indent="4"/>
    </xf>
    <xf numFmtId="166" fontId="1" fillId="0" borderId="0" xfId="10" applyNumberFormat="1" applyProtection="1">
      <protection locked="0"/>
    </xf>
    <xf numFmtId="0" fontId="1" fillId="0" borderId="0" xfId="10" applyAlignment="1" applyProtection="1">
      <alignment horizontal="center"/>
      <protection locked="0"/>
    </xf>
    <xf numFmtId="0" fontId="1" fillId="15" borderId="0" xfId="10" applyFill="1" applyAlignment="1" applyProtection="1">
      <alignment horizontal="center"/>
      <protection locked="0"/>
    </xf>
    <xf numFmtId="0" fontId="1" fillId="16" borderId="4" xfId="10" applyFill="1" applyBorder="1"/>
    <xf numFmtId="166" fontId="1" fillId="10" borderId="0" xfId="10" applyNumberFormat="1" applyFill="1" applyProtection="1">
      <protection locked="0"/>
    </xf>
    <xf numFmtId="166" fontId="1" fillId="12" borderId="0" xfId="10" applyNumberFormat="1" applyFill="1" applyAlignment="1" applyProtection="1">
      <alignment horizontal="right" vertical="top" wrapText="1"/>
      <protection locked="0"/>
    </xf>
    <xf numFmtId="166" fontId="1" fillId="10" borderId="0" xfId="10" applyNumberFormat="1" applyFill="1" applyAlignment="1" applyProtection="1">
      <alignment horizontal="right" vertical="top" wrapText="1"/>
      <protection locked="0"/>
    </xf>
    <xf numFmtId="166" fontId="1" fillId="0" borderId="0" xfId="10" applyNumberFormat="1" applyAlignment="1" applyProtection="1">
      <alignment horizontal="right" vertical="top" wrapText="1"/>
      <protection locked="0"/>
    </xf>
    <xf numFmtId="0" fontId="1" fillId="0" borderId="0" xfId="10" quotePrefix="1" applyAlignment="1">
      <alignment vertical="top" wrapText="1"/>
    </xf>
    <xf numFmtId="166" fontId="1" fillId="17" borderId="0" xfId="10" applyNumberFormat="1" applyFill="1" applyAlignment="1" applyProtection="1">
      <alignment horizontal="right" vertical="top" wrapText="1"/>
      <protection locked="0"/>
    </xf>
    <xf numFmtId="0" fontId="1" fillId="17" borderId="0" xfId="10" applyFill="1" applyAlignment="1">
      <alignment horizontal="center"/>
    </xf>
    <xf numFmtId="9" fontId="1" fillId="17" borderId="0" xfId="10" applyNumberFormat="1" applyFill="1" applyAlignment="1">
      <alignment horizontal="center"/>
    </xf>
    <xf numFmtId="2" fontId="1" fillId="17" borderId="0" xfId="10" applyNumberFormat="1" applyFill="1"/>
    <xf numFmtId="2" fontId="1" fillId="0" borderId="0" xfId="10" quotePrefix="1" applyNumberFormat="1"/>
    <xf numFmtId="166" fontId="1" fillId="10" borderId="0" xfId="10" applyNumberFormat="1" applyFill="1" applyAlignment="1">
      <alignment horizontal="right" vertical="top" wrapText="1"/>
    </xf>
    <xf numFmtId="0" fontId="1" fillId="10" borderId="0" xfId="10" applyFill="1"/>
    <xf numFmtId="0" fontId="1" fillId="10" borderId="0" xfId="10" quotePrefix="1" applyFill="1"/>
    <xf numFmtId="0" fontId="1" fillId="11" borderId="0" xfId="10" applyFill="1" applyAlignment="1">
      <alignment horizontal="left"/>
    </xf>
    <xf numFmtId="0" fontId="1" fillId="11" borderId="0" xfId="10" applyFill="1" applyAlignment="1">
      <alignment horizontal="right"/>
    </xf>
    <xf numFmtId="9" fontId="2" fillId="0" borderId="0" xfId="10" applyNumberFormat="1" applyFont="1" applyAlignment="1">
      <alignment horizontal="center"/>
    </xf>
    <xf numFmtId="2" fontId="2" fillId="0" borderId="0" xfId="10" applyNumberFormat="1" applyFont="1"/>
    <xf numFmtId="0" fontId="1" fillId="11" borderId="0" xfId="10" applyFill="1" applyAlignment="1" applyProtection="1">
      <alignment horizontal="center"/>
      <protection locked="0"/>
    </xf>
    <xf numFmtId="9" fontId="1" fillId="0" borderId="0" xfId="10" applyNumberFormat="1"/>
    <xf numFmtId="2" fontId="1" fillId="0" borderId="0" xfId="10" applyNumberFormat="1" applyAlignment="1" applyProtection="1">
      <alignment horizontal="center"/>
      <protection locked="0"/>
    </xf>
    <xf numFmtId="0" fontId="2" fillId="0" borderId="48" xfId="10" applyFont="1" applyBorder="1" applyAlignment="1">
      <alignment horizontal="center"/>
    </xf>
    <xf numFmtId="166" fontId="1" fillId="11" borderId="58" xfId="10" applyNumberFormat="1" applyFill="1" applyBorder="1"/>
    <xf numFmtId="2" fontId="1" fillId="11" borderId="58" xfId="10" applyNumberFormat="1" applyFill="1" applyBorder="1"/>
    <xf numFmtId="0" fontId="1" fillId="4" borderId="0" xfId="10" applyFill="1" applyAlignment="1" applyProtection="1">
      <alignment horizontal="center"/>
      <protection locked="0"/>
    </xf>
    <xf numFmtId="0" fontId="1" fillId="11" borderId="0" xfId="10" applyFill="1"/>
    <xf numFmtId="2" fontId="1" fillId="11" borderId="49" xfId="10" applyNumberFormat="1" applyFill="1" applyBorder="1"/>
    <xf numFmtId="0" fontId="1" fillId="0" borderId="50" xfId="10" applyBorder="1"/>
    <xf numFmtId="165" fontId="1" fillId="0" borderId="0" xfId="10" applyNumberFormat="1" applyAlignment="1">
      <alignment horizontal="center"/>
    </xf>
    <xf numFmtId="1" fontId="1" fillId="11" borderId="49" xfId="10" applyNumberFormat="1" applyFill="1" applyBorder="1"/>
    <xf numFmtId="0" fontId="1" fillId="15" borderId="0" xfId="10" applyFill="1"/>
    <xf numFmtId="0" fontId="2" fillId="0" borderId="4" xfId="10" applyFont="1" applyBorder="1" applyAlignment="1">
      <alignment horizontal="center" vertical="top" wrapText="1"/>
    </xf>
    <xf numFmtId="0" fontId="2" fillId="0" borderId="4" xfId="10" applyFont="1" applyBorder="1" applyAlignment="1">
      <alignment horizontal="center"/>
    </xf>
    <xf numFmtId="165" fontId="2" fillId="0" borderId="4" xfId="10" applyNumberFormat="1" applyFont="1" applyBorder="1" applyAlignment="1">
      <alignment horizontal="center"/>
    </xf>
    <xf numFmtId="165" fontId="2" fillId="0" borderId="4" xfId="10" applyNumberFormat="1" applyFont="1" applyBorder="1"/>
    <xf numFmtId="0" fontId="1" fillId="0" borderId="4" xfId="10" applyBorder="1" applyAlignment="1" applyProtection="1">
      <alignment horizontal="right"/>
      <protection hidden="1"/>
    </xf>
    <xf numFmtId="0" fontId="1" fillId="0" borderId="30" xfId="10" applyBorder="1" applyProtection="1">
      <protection hidden="1"/>
    </xf>
    <xf numFmtId="0" fontId="1" fillId="0" borderId="4" xfId="10" applyBorder="1" applyAlignment="1">
      <alignment horizontal="center" vertical="top" wrapText="1"/>
    </xf>
    <xf numFmtId="165" fontId="1" fillId="0" borderId="4" xfId="10" applyNumberFormat="1" applyBorder="1" applyAlignment="1">
      <alignment horizontal="center"/>
    </xf>
    <xf numFmtId="0" fontId="1" fillId="0" borderId="4" xfId="10" quotePrefix="1" applyBorder="1" applyAlignment="1">
      <alignment horizontal="center"/>
    </xf>
    <xf numFmtId="0" fontId="1" fillId="0" borderId="4" xfId="10" quotePrefix="1" applyBorder="1"/>
    <xf numFmtId="167" fontId="1" fillId="0" borderId="4" xfId="10" applyNumberFormat="1" applyBorder="1" applyAlignment="1">
      <alignment horizontal="center"/>
    </xf>
    <xf numFmtId="0" fontId="1" fillId="0" borderId="4" xfId="10" applyBorder="1" applyAlignment="1">
      <alignment horizontal="center"/>
    </xf>
    <xf numFmtId="0" fontId="1" fillId="0" borderId="4" xfId="10" applyBorder="1"/>
    <xf numFmtId="166" fontId="1" fillId="0" borderId="4" xfId="10" applyNumberFormat="1" applyBorder="1" applyAlignment="1">
      <alignment horizontal="center"/>
    </xf>
    <xf numFmtId="0" fontId="27" fillId="0" borderId="0" xfId="10" applyFont="1"/>
    <xf numFmtId="0" fontId="28" fillId="0" borderId="0" xfId="10" applyFont="1"/>
    <xf numFmtId="0" fontId="36" fillId="24" borderId="0" xfId="10" applyFont="1" applyFill="1"/>
    <xf numFmtId="0" fontId="1" fillId="0" borderId="0" xfId="10" applyAlignment="1">
      <alignment wrapText="1"/>
    </xf>
    <xf numFmtId="0" fontId="4" fillId="0" borderId="0" xfId="10" applyFont="1" applyAlignment="1">
      <alignment vertical="top" wrapText="1"/>
    </xf>
    <xf numFmtId="0" fontId="2" fillId="0" borderId="0" xfId="10" applyFont="1" applyAlignment="1">
      <alignment wrapText="1"/>
    </xf>
    <xf numFmtId="0" fontId="1" fillId="0" borderId="0" xfId="10" quotePrefix="1" applyAlignment="1">
      <alignment horizontal="left" vertical="top"/>
    </xf>
    <xf numFmtId="0" fontId="4" fillId="0" borderId="0" xfId="10" applyFont="1" applyAlignment="1">
      <alignment horizontal="left" vertical="top" wrapText="1"/>
    </xf>
    <xf numFmtId="0" fontId="1" fillId="0" borderId="0" xfId="10" applyAlignment="1" applyProtection="1">
      <alignment horizontal="left"/>
      <protection locked="0"/>
    </xf>
    <xf numFmtId="0" fontId="1" fillId="0" borderId="0" xfId="10" quotePrefix="1" applyAlignment="1" applyProtection="1">
      <alignment horizontal="left" indent="2"/>
      <protection locked="0"/>
    </xf>
    <xf numFmtId="0" fontId="2" fillId="0" borderId="0" xfId="10" applyFont="1" applyAlignment="1">
      <alignment horizontal="left" wrapText="1"/>
    </xf>
    <xf numFmtId="0" fontId="1" fillId="0" borderId="0" xfId="10" applyFill="1" applyAlignment="1">
      <alignment wrapText="1"/>
    </xf>
    <xf numFmtId="0" fontId="19" fillId="0" borderId="0" xfId="10" applyFont="1" applyFill="1" applyAlignment="1">
      <alignment wrapText="1"/>
    </xf>
    <xf numFmtId="0" fontId="1" fillId="25" borderId="51" xfId="9" applyFill="1" applyBorder="1" applyAlignment="1" applyProtection="1">
      <alignment horizontal="center" wrapText="1"/>
      <protection locked="0"/>
    </xf>
    <xf numFmtId="0" fontId="1" fillId="25" borderId="36" xfId="9" applyFill="1" applyBorder="1" applyAlignment="1" applyProtection="1">
      <alignment horizontal="left" wrapText="1"/>
      <protection locked="0"/>
    </xf>
    <xf numFmtId="0" fontId="1" fillId="0" borderId="0" xfId="0" quotePrefix="1" applyFont="1" applyAlignment="1" applyProtection="1">
      <alignment horizontal="left"/>
      <protection locked="0"/>
    </xf>
    <xf numFmtId="0" fontId="1" fillId="0" borderId="0" xfId="0" quotePrefix="1" applyFont="1" applyAlignment="1" applyProtection="1">
      <alignment horizontal="left" indent="2"/>
      <protection locked="0"/>
    </xf>
    <xf numFmtId="2" fontId="1" fillId="26" borderId="0" xfId="10" applyNumberFormat="1" applyFill="1"/>
    <xf numFmtId="0" fontId="2" fillId="3" borderId="36" xfId="9" applyFont="1" applyFill="1" applyBorder="1" applyAlignment="1" applyProtection="1">
      <alignment vertical="top" wrapText="1"/>
      <protection locked="0"/>
    </xf>
    <xf numFmtId="166" fontId="1" fillId="2" borderId="0" xfId="10" applyNumberFormat="1" applyFill="1"/>
    <xf numFmtId="1" fontId="1" fillId="20" borderId="0" xfId="9" applyNumberFormat="1" applyFill="1" applyAlignment="1" applyProtection="1">
      <alignment horizontal="center" vertical="top" wrapText="1"/>
      <protection locked="0"/>
    </xf>
    <xf numFmtId="0" fontId="1" fillId="20" borderId="0" xfId="9" applyFill="1" applyAlignment="1" applyProtection="1">
      <alignment horizontal="center"/>
      <protection locked="0" hidden="1"/>
    </xf>
    <xf numFmtId="0" fontId="1" fillId="2" borderId="0" xfId="9" applyFill="1" applyAlignment="1" applyProtection="1">
      <alignment horizontal="center"/>
      <protection locked="0" hidden="1"/>
    </xf>
    <xf numFmtId="0" fontId="4" fillId="14" borderId="24" xfId="9" applyFont="1" applyFill="1" applyBorder="1" applyAlignment="1" applyProtection="1">
      <alignment horizontal="left" vertical="top" wrapText="1"/>
      <protection locked="0"/>
    </xf>
    <xf numFmtId="1" fontId="1" fillId="20" borderId="0" xfId="9" applyNumberFormat="1" applyFill="1" applyAlignment="1" applyProtection="1">
      <alignment horizontal="center" vertical="top" wrapText="1"/>
      <protection locked="0"/>
    </xf>
    <xf numFmtId="0" fontId="1" fillId="20" borderId="0" xfId="9" applyFill="1" applyAlignment="1" applyProtection="1">
      <alignment horizontal="center"/>
      <protection locked="0" hidden="1"/>
    </xf>
    <xf numFmtId="0" fontId="1" fillId="2" borderId="0" xfId="9" applyFill="1" applyAlignment="1" applyProtection="1">
      <alignment horizontal="center"/>
      <protection locked="0" hidden="1"/>
    </xf>
    <xf numFmtId="0" fontId="4" fillId="14" borderId="24" xfId="9" applyFont="1" applyFill="1" applyBorder="1" applyAlignment="1" applyProtection="1">
      <alignment horizontal="left" vertical="top" wrapText="1"/>
      <protection locked="0"/>
    </xf>
    <xf numFmtId="0" fontId="11" fillId="0" borderId="38" xfId="10" applyFont="1" applyBorder="1" applyAlignment="1">
      <alignment horizontal="center" vertical="center"/>
    </xf>
    <xf numFmtId="0" fontId="11" fillId="0" borderId="61" xfId="10" applyFont="1" applyBorder="1" applyAlignment="1">
      <alignment horizontal="center" vertical="center"/>
    </xf>
    <xf numFmtId="0" fontId="11" fillId="0" borderId="40" xfId="10" applyFont="1" applyBorder="1" applyAlignment="1">
      <alignment horizontal="center" vertical="center"/>
    </xf>
    <xf numFmtId="0" fontId="5" fillId="4" borderId="11" xfId="10" applyFont="1" applyFill="1" applyBorder="1" applyAlignment="1">
      <alignment horizontal="center" vertical="top"/>
    </xf>
    <xf numFmtId="0" fontId="5" fillId="4" borderId="13" xfId="10" applyFont="1" applyFill="1" applyBorder="1" applyAlignment="1">
      <alignment horizontal="center" vertical="top"/>
    </xf>
    <xf numFmtId="0" fontId="2" fillId="4" borderId="11" xfId="10" applyFont="1" applyFill="1" applyBorder="1" applyAlignment="1">
      <alignment horizontal="center" vertical="center"/>
    </xf>
    <xf numFmtId="0" fontId="2" fillId="4" borderId="13" xfId="10" applyFont="1" applyFill="1" applyBorder="1" applyAlignment="1">
      <alignment horizontal="center" vertical="center"/>
    </xf>
    <xf numFmtId="0" fontId="2" fillId="4" borderId="12" xfId="10" applyFont="1" applyFill="1" applyBorder="1" applyAlignment="1">
      <alignment horizontal="center" vertical="center"/>
    </xf>
    <xf numFmtId="0" fontId="5" fillId="5" borderId="11" xfId="10" applyFont="1" applyFill="1" applyBorder="1" applyAlignment="1">
      <alignment horizontal="center"/>
    </xf>
    <xf numFmtId="0" fontId="5" fillId="5" borderId="12" xfId="10" applyFont="1" applyFill="1" applyBorder="1" applyAlignment="1">
      <alignment horizontal="center"/>
    </xf>
    <xf numFmtId="0" fontId="5" fillId="5" borderId="13" xfId="10" applyFont="1" applyFill="1" applyBorder="1" applyAlignment="1">
      <alignment horizontal="center"/>
    </xf>
    <xf numFmtId="0" fontId="1" fillId="0" borderId="38" xfId="10" applyBorder="1" applyAlignment="1">
      <alignment horizontal="left" wrapText="1"/>
    </xf>
    <xf numFmtId="0" fontId="1" fillId="0" borderId="61" xfId="10" applyBorder="1" applyAlignment="1">
      <alignment horizontal="left" wrapText="1"/>
    </xf>
    <xf numFmtId="0" fontId="1" fillId="0" borderId="40" xfId="10" applyBorder="1" applyAlignment="1">
      <alignment horizontal="left"/>
    </xf>
    <xf numFmtId="0" fontId="1" fillId="5" borderId="36" xfId="10" applyFill="1" applyBorder="1" applyAlignment="1" applyProtection="1">
      <alignment horizontal="center"/>
      <protection locked="0"/>
    </xf>
    <xf numFmtId="0" fontId="1" fillId="5" borderId="24" xfId="10" applyFill="1" applyBorder="1" applyAlignment="1" applyProtection="1">
      <alignment horizontal="center"/>
      <protection locked="0"/>
    </xf>
    <xf numFmtId="0" fontId="1" fillId="5" borderId="23" xfId="10" applyFill="1" applyBorder="1" applyAlignment="1" applyProtection="1">
      <alignment horizontal="center"/>
      <protection locked="0"/>
    </xf>
    <xf numFmtId="0" fontId="1" fillId="18" borderId="11" xfId="10" applyFill="1" applyBorder="1" applyAlignment="1" applyProtection="1">
      <alignment horizontal="center"/>
      <protection locked="0"/>
    </xf>
    <xf numFmtId="0" fontId="1" fillId="5" borderId="13" xfId="10" applyFill="1" applyBorder="1" applyAlignment="1" applyProtection="1">
      <alignment horizontal="center"/>
      <protection locked="0"/>
    </xf>
    <xf numFmtId="0" fontId="1" fillId="5" borderId="11" xfId="10" applyFill="1" applyBorder="1" applyAlignment="1" applyProtection="1">
      <alignment horizontal="center"/>
      <protection locked="0"/>
    </xf>
    <xf numFmtId="0" fontId="2" fillId="4" borderId="10" xfId="10" applyFont="1" applyFill="1" applyBorder="1" applyAlignment="1">
      <alignment horizontal="center" vertical="center"/>
    </xf>
    <xf numFmtId="0" fontId="2" fillId="4" borderId="39" xfId="10" applyFont="1" applyFill="1" applyBorder="1" applyAlignment="1">
      <alignment horizontal="center" vertical="center"/>
    </xf>
    <xf numFmtId="0" fontId="2" fillId="4" borderId="37" xfId="10" applyFont="1" applyFill="1" applyBorder="1" applyAlignment="1">
      <alignment horizontal="center" vertical="center"/>
    </xf>
    <xf numFmtId="0" fontId="1" fillId="0" borderId="38" xfId="10" applyBorder="1" applyAlignment="1">
      <alignment horizontal="left" vertical="top" wrapText="1"/>
    </xf>
    <xf numFmtId="0" fontId="1" fillId="0" borderId="61" xfId="10" applyBorder="1" applyAlignment="1">
      <alignment horizontal="left" vertical="top" wrapText="1"/>
    </xf>
    <xf numFmtId="0" fontId="1" fillId="0" borderId="40" xfId="10" applyBorder="1" applyAlignment="1">
      <alignment horizontal="left" vertical="top" wrapText="1"/>
    </xf>
    <xf numFmtId="0" fontId="1" fillId="5" borderId="17" xfId="10" applyFill="1" applyBorder="1" applyAlignment="1" applyProtection="1">
      <alignment horizontal="center"/>
      <protection locked="0"/>
    </xf>
    <xf numFmtId="0" fontId="1" fillId="5" borderId="19" xfId="10" applyFill="1" applyBorder="1" applyAlignment="1" applyProtection="1">
      <alignment horizontal="center"/>
      <protection locked="0"/>
    </xf>
    <xf numFmtId="0" fontId="1" fillId="5" borderId="20" xfId="10" applyFill="1" applyBorder="1" applyAlignment="1" applyProtection="1">
      <alignment horizontal="center"/>
      <protection locked="0"/>
    </xf>
    <xf numFmtId="0" fontId="1" fillId="5" borderId="22" xfId="10" applyFill="1" applyBorder="1" applyAlignment="1" applyProtection="1">
      <alignment horizontal="center"/>
      <protection locked="0"/>
    </xf>
    <xf numFmtId="0" fontId="5" fillId="4" borderId="11" xfId="10" applyFont="1" applyFill="1" applyBorder="1" applyAlignment="1">
      <alignment vertical="top"/>
    </xf>
    <xf numFmtId="0" fontId="5" fillId="4" borderId="12" xfId="10" applyFont="1" applyFill="1" applyBorder="1" applyAlignment="1">
      <alignment vertical="top"/>
    </xf>
    <xf numFmtId="0" fontId="5" fillId="4" borderId="13" xfId="10" applyFont="1" applyFill="1" applyBorder="1" applyAlignment="1">
      <alignment vertical="top"/>
    </xf>
    <xf numFmtId="0" fontId="1" fillId="0" borderId="38" xfId="10" applyBorder="1" applyAlignment="1">
      <alignment wrapText="1"/>
    </xf>
    <xf numFmtId="0" fontId="1" fillId="0" borderId="40" xfId="10" applyBorder="1"/>
    <xf numFmtId="0" fontId="1" fillId="5" borderId="4" xfId="10" applyFill="1" applyBorder="1" applyAlignment="1">
      <alignment horizontal="center"/>
    </xf>
    <xf numFmtId="0" fontId="0" fillId="0" borderId="4" xfId="0" applyBorder="1" applyAlignment="1"/>
    <xf numFmtId="0" fontId="1" fillId="6" borderId="4" xfId="10" applyFill="1" applyBorder="1" applyAlignment="1">
      <alignment horizontal="center"/>
    </xf>
    <xf numFmtId="0" fontId="1" fillId="7" borderId="4" xfId="10" applyFill="1" applyBorder="1" applyAlignment="1">
      <alignment horizontal="center"/>
    </xf>
    <xf numFmtId="0" fontId="1" fillId="8" borderId="4" xfId="10" applyFill="1" applyBorder="1" applyAlignment="1">
      <alignment horizontal="center"/>
    </xf>
    <xf numFmtId="0" fontId="1" fillId="3" borderId="4" xfId="10" applyFill="1" applyBorder="1" applyAlignment="1">
      <alignment horizontal="center"/>
    </xf>
    <xf numFmtId="0" fontId="5" fillId="5" borderId="11" xfId="9" applyFont="1" applyFill="1" applyBorder="1" applyAlignment="1" applyProtection="1">
      <alignment horizontal="center"/>
      <protection locked="0"/>
    </xf>
    <xf numFmtId="0" fontId="5" fillId="5" borderId="12" xfId="9" applyFont="1" applyFill="1" applyBorder="1" applyAlignment="1" applyProtection="1">
      <alignment horizontal="center"/>
      <protection locked="0"/>
    </xf>
    <xf numFmtId="0" fontId="5" fillId="5" borderId="13" xfId="9" applyFont="1" applyFill="1" applyBorder="1" applyAlignment="1" applyProtection="1">
      <alignment horizontal="center"/>
      <protection locked="0"/>
    </xf>
    <xf numFmtId="0" fontId="40" fillId="4" borderId="11" xfId="9" applyFont="1" applyFill="1" applyBorder="1" applyAlignment="1" applyProtection="1">
      <alignment horizontal="center" vertical="center" wrapText="1"/>
      <protection locked="0"/>
    </xf>
    <xf numFmtId="0" fontId="5" fillId="4" borderId="12" xfId="9" applyFont="1" applyFill="1" applyBorder="1" applyAlignment="1" applyProtection="1">
      <alignment horizontal="center" vertical="center" wrapText="1"/>
      <protection locked="0"/>
    </xf>
    <xf numFmtId="0" fontId="5" fillId="4" borderId="13" xfId="9" applyFont="1" applyFill="1" applyBorder="1" applyAlignment="1" applyProtection="1">
      <alignment horizontal="center" vertical="center" wrapText="1"/>
      <protection locked="0"/>
    </xf>
    <xf numFmtId="0" fontId="2" fillId="2" borderId="11" xfId="9" applyFont="1" applyFill="1" applyBorder="1" applyAlignment="1" applyProtection="1">
      <alignment horizontal="center" vertical="center"/>
      <protection locked="0"/>
    </xf>
    <xf numFmtId="0" fontId="2" fillId="2" borderId="12" xfId="9" applyFont="1" applyFill="1" applyBorder="1" applyAlignment="1" applyProtection="1">
      <alignment horizontal="center" vertical="center"/>
      <protection locked="0"/>
    </xf>
    <xf numFmtId="0" fontId="2" fillId="2" borderId="13" xfId="9" applyFont="1" applyFill="1" applyBorder="1" applyAlignment="1" applyProtection="1">
      <alignment horizontal="center" vertical="center"/>
      <protection locked="0"/>
    </xf>
    <xf numFmtId="0" fontId="2" fillId="4" borderId="11" xfId="9" applyFont="1" applyFill="1" applyBorder="1" applyAlignment="1" applyProtection="1">
      <alignment horizontal="center" vertical="top" wrapText="1"/>
      <protection locked="0"/>
    </xf>
    <xf numFmtId="0" fontId="2" fillId="4" borderId="12" xfId="9" applyFont="1" applyFill="1" applyBorder="1" applyAlignment="1" applyProtection="1">
      <alignment horizontal="center" vertical="top" wrapText="1"/>
      <protection locked="0"/>
    </xf>
    <xf numFmtId="0" fontId="2" fillId="4" borderId="13" xfId="9" applyFont="1" applyFill="1" applyBorder="1" applyAlignment="1" applyProtection="1">
      <alignment horizontal="center" vertical="top" wrapText="1"/>
      <protection locked="0"/>
    </xf>
    <xf numFmtId="0" fontId="5" fillId="4" borderId="11" xfId="9" applyFont="1" applyFill="1" applyBorder="1" applyAlignment="1" applyProtection="1">
      <alignment horizontal="center" vertical="top" wrapText="1"/>
      <protection locked="0"/>
    </xf>
    <xf numFmtId="0" fontId="5" fillId="4" borderId="12" xfId="9" applyFont="1" applyFill="1" applyBorder="1" applyAlignment="1" applyProtection="1">
      <alignment horizontal="center" vertical="top" wrapText="1"/>
      <protection locked="0"/>
    </xf>
    <xf numFmtId="0" fontId="5" fillId="4" borderId="13" xfId="9" applyFont="1" applyFill="1" applyBorder="1" applyAlignment="1" applyProtection="1">
      <alignment horizontal="center" vertical="top" wrapText="1"/>
      <protection locked="0"/>
    </xf>
    <xf numFmtId="0" fontId="2" fillId="2" borderId="38" xfId="9" applyFont="1" applyFill="1" applyBorder="1" applyAlignment="1" applyProtection="1">
      <alignment horizontal="center" vertical="center"/>
      <protection locked="0"/>
    </xf>
    <xf numFmtId="0" fontId="2" fillId="2" borderId="40" xfId="9" applyFont="1" applyFill="1" applyBorder="1" applyAlignment="1" applyProtection="1">
      <alignment horizontal="center" vertical="center"/>
      <protection locked="0"/>
    </xf>
    <xf numFmtId="0" fontId="2" fillId="2" borderId="10" xfId="9" applyFont="1" applyFill="1" applyBorder="1" applyAlignment="1" applyProtection="1">
      <alignment horizontal="center" vertical="center"/>
      <protection locked="0"/>
    </xf>
    <xf numFmtId="0" fontId="2" fillId="2" borderId="39" xfId="9" applyFont="1" applyFill="1" applyBorder="1" applyAlignment="1" applyProtection="1">
      <alignment horizontal="center" vertical="center"/>
      <protection locked="0"/>
    </xf>
    <xf numFmtId="0" fontId="4" fillId="14" borderId="24" xfId="9" applyFont="1" applyFill="1" applyBorder="1" applyAlignment="1" applyProtection="1">
      <alignment horizontal="left" vertical="top" wrapText="1"/>
      <protection locked="0"/>
    </xf>
    <xf numFmtId="0" fontId="1" fillId="18" borderId="7" xfId="9" applyFill="1" applyBorder="1" applyAlignment="1" applyProtection="1">
      <alignment vertical="top" wrapText="1"/>
      <protection locked="0"/>
    </xf>
    <xf numFmtId="0" fontId="1" fillId="0" borderId="7" xfId="9" applyBorder="1" applyAlignment="1" applyProtection="1">
      <alignment vertical="top" wrapText="1"/>
      <protection locked="0"/>
    </xf>
    <xf numFmtId="0" fontId="1" fillId="2" borderId="59" xfId="9" applyFill="1" applyBorder="1" applyAlignment="1" applyProtection="1">
      <alignment horizontal="center"/>
      <protection locked="0" hidden="1"/>
    </xf>
    <xf numFmtId="0" fontId="5" fillId="4" borderId="63" xfId="9" applyFont="1" applyFill="1" applyBorder="1" applyAlignment="1" applyProtection="1">
      <alignment horizontal="center" vertical="top" wrapText="1"/>
      <protection locked="0"/>
    </xf>
    <xf numFmtId="0" fontId="5" fillId="4" borderId="64" xfId="9" applyFont="1" applyFill="1" applyBorder="1" applyAlignment="1" applyProtection="1">
      <alignment horizontal="center" vertical="top" wrapText="1"/>
      <protection locked="0"/>
    </xf>
    <xf numFmtId="0" fontId="5" fillId="4" borderId="65" xfId="9" applyFont="1" applyFill="1" applyBorder="1" applyAlignment="1" applyProtection="1">
      <alignment horizontal="center" vertical="top" wrapText="1"/>
      <protection locked="0"/>
    </xf>
    <xf numFmtId="0" fontId="4" fillId="14" borderId="7" xfId="9" applyFont="1" applyFill="1" applyBorder="1" applyAlignment="1" applyProtection="1">
      <alignment horizontal="left" vertical="top" wrapText="1"/>
      <protection locked="0"/>
    </xf>
    <xf numFmtId="0" fontId="1" fillId="2" borderId="0" xfId="9" applyFill="1" applyAlignment="1" applyProtection="1">
      <alignment horizontal="center"/>
      <protection locked="0" hidden="1"/>
    </xf>
    <xf numFmtId="0" fontId="1" fillId="20" borderId="7" xfId="9" applyFill="1" applyBorder="1" applyAlignment="1" applyProtection="1">
      <alignment horizontal="center"/>
      <protection locked="0" hidden="1"/>
    </xf>
    <xf numFmtId="0" fontId="1" fillId="20" borderId="57" xfId="9" applyFill="1" applyBorder="1" applyAlignment="1" applyProtection="1">
      <alignment horizontal="center"/>
      <protection locked="0" hidden="1"/>
    </xf>
    <xf numFmtId="0" fontId="5" fillId="5" borderId="11" xfId="9" applyFont="1" applyFill="1" applyBorder="1" applyAlignment="1" applyProtection="1">
      <alignment horizontal="center" vertical="top"/>
      <protection locked="0"/>
    </xf>
    <xf numFmtId="0" fontId="5" fillId="5" borderId="12" xfId="9" applyFont="1" applyFill="1" applyBorder="1" applyAlignment="1" applyProtection="1">
      <alignment horizontal="center" vertical="top"/>
      <protection locked="0"/>
    </xf>
    <xf numFmtId="0" fontId="5" fillId="5" borderId="13" xfId="9" applyFont="1" applyFill="1" applyBorder="1" applyAlignment="1" applyProtection="1">
      <alignment horizontal="center" vertical="top"/>
      <protection locked="0"/>
    </xf>
    <xf numFmtId="0" fontId="40" fillId="4" borderId="11" xfId="9" applyFont="1" applyFill="1" applyBorder="1" applyAlignment="1" applyProtection="1">
      <alignment horizontal="center" wrapText="1"/>
      <protection locked="0"/>
    </xf>
    <xf numFmtId="0" fontId="40" fillId="4" borderId="12" xfId="9" applyFont="1" applyFill="1" applyBorder="1" applyAlignment="1" applyProtection="1">
      <alignment horizontal="center" wrapText="1"/>
      <protection locked="0"/>
    </xf>
    <xf numFmtId="0" fontId="40" fillId="4" borderId="13" xfId="9" applyFont="1" applyFill="1" applyBorder="1" applyAlignment="1" applyProtection="1">
      <alignment horizontal="center" wrapText="1"/>
      <protection locked="0"/>
    </xf>
    <xf numFmtId="0" fontId="1" fillId="20" borderId="0" xfId="9" applyFill="1" applyAlignment="1" applyProtection="1">
      <alignment horizontal="center"/>
      <protection locked="0" hidden="1"/>
    </xf>
    <xf numFmtId="0" fontId="5" fillId="3" borderId="11" xfId="9" applyFont="1" applyFill="1" applyBorder="1" applyAlignment="1" applyProtection="1">
      <alignment horizontal="center"/>
      <protection locked="0"/>
    </xf>
    <xf numFmtId="0" fontId="5" fillId="3" borderId="12" xfId="9" applyFont="1" applyFill="1" applyBorder="1" applyAlignment="1" applyProtection="1">
      <alignment horizontal="center"/>
      <protection locked="0"/>
    </xf>
    <xf numFmtId="0" fontId="5" fillId="3" borderId="13" xfId="9" applyFont="1" applyFill="1" applyBorder="1" applyAlignment="1" applyProtection="1">
      <alignment horizontal="center"/>
      <protection locked="0"/>
    </xf>
    <xf numFmtId="0" fontId="1" fillId="19" borderId="26" xfId="9" applyFill="1" applyBorder="1" applyAlignment="1" applyProtection="1">
      <alignment horizontal="center" vertical="top" wrapText="1"/>
      <protection locked="0"/>
    </xf>
    <xf numFmtId="0" fontId="1" fillId="0" borderId="55" xfId="9" applyBorder="1" applyAlignment="1" applyProtection="1">
      <alignment horizontal="center" vertical="top" wrapText="1"/>
      <protection locked="0"/>
    </xf>
    <xf numFmtId="0" fontId="1" fillId="19" borderId="55" xfId="9" applyFill="1" applyBorder="1" applyAlignment="1" applyProtection="1">
      <alignment horizontal="center" vertical="top" wrapText="1"/>
      <protection locked="0"/>
    </xf>
    <xf numFmtId="0" fontId="1" fillId="0" borderId="28" xfId="9" applyBorder="1" applyAlignment="1" applyProtection="1">
      <alignment horizontal="center" vertical="top" wrapText="1"/>
      <protection locked="0"/>
    </xf>
    <xf numFmtId="1" fontId="1" fillId="19" borderId="20" xfId="9" applyNumberFormat="1" applyFill="1" applyBorder="1" applyAlignment="1" applyProtection="1">
      <alignment horizontal="center" vertical="top" wrapText="1"/>
      <protection locked="0"/>
    </xf>
    <xf numFmtId="1" fontId="1" fillId="0" borderId="21" xfId="9" applyNumberFormat="1" applyBorder="1" applyAlignment="1" applyProtection="1">
      <alignment horizontal="center" vertical="top" wrapText="1"/>
      <protection locked="0"/>
    </xf>
    <xf numFmtId="1" fontId="1" fillId="0" borderId="22" xfId="9" applyNumberFormat="1" applyBorder="1" applyAlignment="1" applyProtection="1">
      <alignment horizontal="center" vertical="top" wrapText="1"/>
      <protection locked="0"/>
    </xf>
    <xf numFmtId="1" fontId="1" fillId="20" borderId="0" xfId="9" applyNumberFormat="1" applyFill="1" applyAlignment="1" applyProtection="1">
      <alignment horizontal="center" vertical="top" wrapText="1"/>
      <protection locked="0"/>
    </xf>
    <xf numFmtId="170" fontId="2" fillId="19" borderId="24" xfId="9" applyNumberFormat="1" applyFont="1" applyFill="1" applyBorder="1" applyAlignment="1" applyProtection="1">
      <alignment horizontal="center"/>
      <protection locked="0"/>
    </xf>
    <xf numFmtId="170" fontId="2" fillId="19" borderId="7" xfId="9" applyNumberFormat="1" applyFont="1" applyFill="1" applyBorder="1" applyAlignment="1" applyProtection="1">
      <alignment horizontal="center"/>
      <protection locked="0"/>
    </xf>
    <xf numFmtId="170" fontId="2" fillId="19" borderId="25" xfId="9" applyNumberFormat="1" applyFont="1" applyFill="1" applyBorder="1" applyAlignment="1" applyProtection="1">
      <alignment horizontal="center"/>
      <protection locked="0"/>
    </xf>
    <xf numFmtId="169" fontId="1" fillId="19" borderId="24" xfId="9" applyNumberFormat="1" applyFill="1" applyBorder="1" applyAlignment="1" applyProtection="1">
      <alignment horizontal="center"/>
      <protection locked="0" hidden="1"/>
    </xf>
    <xf numFmtId="169" fontId="1" fillId="17" borderId="7" xfId="9" applyNumberFormat="1" applyFill="1" applyBorder="1" applyAlignment="1" applyProtection="1">
      <alignment horizontal="center"/>
      <protection locked="0" hidden="1"/>
    </xf>
    <xf numFmtId="169" fontId="1" fillId="17" borderId="25" xfId="9" applyNumberFormat="1" applyFill="1" applyBorder="1" applyAlignment="1" applyProtection="1">
      <alignment horizontal="center"/>
      <protection locked="0" hidden="1"/>
    </xf>
    <xf numFmtId="169" fontId="1" fillId="0" borderId="20" xfId="9" applyNumberFormat="1" applyBorder="1" applyAlignment="1" applyProtection="1">
      <alignment horizontal="center"/>
      <protection locked="0" hidden="1"/>
    </xf>
    <xf numFmtId="169" fontId="1" fillId="0" borderId="21" xfId="9" applyNumberFormat="1" applyBorder="1" applyAlignment="1" applyProtection="1">
      <alignment horizontal="center"/>
      <protection locked="0" hidden="1"/>
    </xf>
    <xf numFmtId="169" fontId="1" fillId="0" borderId="22" xfId="9" applyNumberFormat="1" applyBorder="1" applyAlignment="1" applyProtection="1">
      <alignment horizontal="center"/>
      <protection locked="0" hidden="1"/>
    </xf>
    <xf numFmtId="168" fontId="2" fillId="0" borderId="26" xfId="9" applyNumberFormat="1" applyFont="1" applyBorder="1" applyAlignment="1" applyProtection="1">
      <alignment horizontal="center" vertical="top" wrapText="1"/>
      <protection locked="0"/>
    </xf>
    <xf numFmtId="168" fontId="2" fillId="0" borderId="55" xfId="9" applyNumberFormat="1" applyFont="1" applyBorder="1" applyAlignment="1" applyProtection="1">
      <alignment horizontal="center" vertical="top" wrapText="1"/>
      <protection locked="0"/>
    </xf>
    <xf numFmtId="168" fontId="2" fillId="0" borderId="28" xfId="9" applyNumberFormat="1" applyFont="1" applyBorder="1" applyAlignment="1" applyProtection="1">
      <alignment horizontal="center" vertical="top" wrapText="1"/>
      <protection locked="0"/>
    </xf>
    <xf numFmtId="168" fontId="1" fillId="19" borderId="70" xfId="9" applyNumberFormat="1" applyFill="1" applyBorder="1" applyAlignment="1" applyProtection="1">
      <alignment horizontal="center" vertical="top" wrapText="1"/>
      <protection locked="0"/>
    </xf>
    <xf numFmtId="168" fontId="1" fillId="0" borderId="71" xfId="9" applyNumberFormat="1" applyBorder="1" applyAlignment="1" applyProtection="1">
      <alignment horizontal="center" vertical="top" wrapText="1"/>
      <protection locked="0"/>
    </xf>
    <xf numFmtId="168" fontId="1" fillId="0" borderId="66" xfId="9" applyNumberFormat="1" applyBorder="1" applyAlignment="1" applyProtection="1">
      <alignment horizontal="center" vertical="top" wrapText="1"/>
      <protection locked="0"/>
    </xf>
    <xf numFmtId="0" fontId="1" fillId="20" borderId="4" xfId="9" applyFill="1" applyBorder="1" applyAlignment="1" applyProtection="1">
      <alignment horizontal="center" vertical="top" wrapText="1"/>
      <protection locked="0"/>
    </xf>
    <xf numFmtId="169" fontId="1" fillId="0" borderId="24" xfId="9" applyNumberFormat="1" applyBorder="1" applyAlignment="1" applyProtection="1">
      <alignment horizontal="center"/>
      <protection locked="0"/>
    </xf>
    <xf numFmtId="169" fontId="1" fillId="0" borderId="7" xfId="9" applyNumberFormat="1" applyBorder="1" applyAlignment="1" applyProtection="1">
      <alignment horizontal="center"/>
      <protection locked="0"/>
    </xf>
    <xf numFmtId="169" fontId="1" fillId="0" borderId="25" xfId="9" applyNumberFormat="1" applyBorder="1" applyAlignment="1" applyProtection="1">
      <alignment horizontal="center"/>
      <protection locked="0"/>
    </xf>
    <xf numFmtId="169" fontId="1" fillId="0" borderId="20" xfId="9" applyNumberFormat="1" applyBorder="1" applyAlignment="1" applyProtection="1">
      <alignment horizontal="center"/>
      <protection locked="0"/>
    </xf>
    <xf numFmtId="169" fontId="1" fillId="0" borderId="21" xfId="9" applyNumberFormat="1" applyBorder="1" applyAlignment="1" applyProtection="1">
      <alignment horizontal="center"/>
      <protection locked="0"/>
    </xf>
    <xf numFmtId="169" fontId="1" fillId="0" borderId="22" xfId="9" applyNumberFormat="1" applyBorder="1" applyAlignment="1" applyProtection="1">
      <alignment horizontal="center"/>
      <protection locked="0"/>
    </xf>
  </cellXfs>
  <cellStyles count="11">
    <cellStyle name="Comma 2" xfId="1" xr:uid="{00000000-0005-0000-0000-000000000000}"/>
    <cellStyle name="Comma 3" xfId="2" xr:uid="{00000000-0005-0000-0000-000001000000}"/>
    <cellStyle name="Comma 4" xfId="3" xr:uid="{00000000-0005-0000-0000-000002000000}"/>
    <cellStyle name="Hyperlink 2" xfId="4" xr:uid="{00000000-0005-0000-0000-000003000000}"/>
    <cellStyle name="Normal" xfId="0" builtinId="0"/>
    <cellStyle name="Normal 2" xfId="5" xr:uid="{00000000-0005-0000-0000-000005000000}"/>
    <cellStyle name="Normal 3" xfId="6" xr:uid="{00000000-0005-0000-0000-000006000000}"/>
    <cellStyle name="Normal 3 2" xfId="10" xr:uid="{46D8B200-E1C5-448D-AB0D-02753CED6DE6}"/>
    <cellStyle name="Normal 4" xfId="7" xr:uid="{00000000-0005-0000-0000-000007000000}"/>
    <cellStyle name="Normal 5" xfId="9" xr:uid="{716A2536-B4F0-4855-9DCF-1C1E724AFEBE}"/>
    <cellStyle name="Standard_009716_f_en_--_FX2010-SintesoQuantitiesTool-test" xfId="8" xr:uid="{00000000-0005-0000-0000-000009000000}"/>
  </cellStyles>
  <dxfs count="47">
    <dxf>
      <fill>
        <patternFill>
          <bgColor rgb="FFFF9900"/>
        </patternFill>
      </fill>
    </dxf>
    <dxf>
      <fill>
        <patternFill>
          <bgColor theme="9"/>
        </patternFill>
      </fill>
    </dxf>
    <dxf>
      <fill>
        <patternFill>
          <bgColor theme="9"/>
        </patternFill>
      </fill>
    </dxf>
    <dxf>
      <fill>
        <patternFill>
          <bgColor theme="9" tint="-0.24994659260841701"/>
        </patternFill>
      </fill>
    </dxf>
    <dxf>
      <fill>
        <patternFill>
          <bgColor indexed="52"/>
        </patternFill>
      </fill>
    </dxf>
    <dxf>
      <font>
        <condense val="0"/>
        <extend val="0"/>
        <color auto="1"/>
      </font>
      <fill>
        <patternFill>
          <bgColor indexed="11"/>
        </patternFill>
      </fill>
    </dxf>
    <dxf>
      <fill>
        <patternFill>
          <bgColor indexed="52"/>
        </patternFill>
      </fill>
    </dxf>
    <dxf>
      <font>
        <condense val="0"/>
        <extend val="0"/>
        <color indexed="9"/>
      </font>
      <fill>
        <patternFill>
          <bgColor indexed="9"/>
        </patternFill>
      </fill>
    </dxf>
    <dxf>
      <fill>
        <patternFill>
          <bgColor theme="9" tint="-0.24994659260841701"/>
        </patternFill>
      </fill>
    </dxf>
    <dxf>
      <font>
        <condense val="0"/>
        <extend val="0"/>
        <color indexed="9"/>
      </font>
    </dxf>
    <dxf>
      <fill>
        <patternFill>
          <bgColor indexed="52"/>
        </patternFill>
      </fill>
    </dxf>
    <dxf>
      <font>
        <condense val="0"/>
        <extend val="0"/>
        <color indexed="9"/>
      </font>
      <fill>
        <patternFill>
          <bgColor indexed="9"/>
        </patternFill>
      </fill>
    </dxf>
    <dxf>
      <fill>
        <patternFill>
          <bgColor indexed="52"/>
        </patternFill>
      </fill>
    </dxf>
    <dxf>
      <font>
        <condense val="0"/>
        <extend val="0"/>
        <color indexed="9"/>
      </font>
      <fill>
        <patternFill>
          <bgColor indexed="9"/>
        </patternFill>
      </fill>
    </dxf>
    <dxf>
      <fill>
        <patternFill>
          <bgColor indexed="52"/>
        </patternFill>
      </fill>
    </dxf>
    <dxf>
      <font>
        <condense val="0"/>
        <extend val="0"/>
        <color indexed="9"/>
      </font>
      <fill>
        <patternFill>
          <bgColor indexed="9"/>
        </patternFill>
      </fill>
    </dxf>
    <dxf>
      <fill>
        <patternFill>
          <bgColor indexed="52"/>
        </patternFill>
      </fill>
    </dxf>
    <dxf>
      <font>
        <condense val="0"/>
        <extend val="0"/>
        <color indexed="9"/>
      </font>
      <fill>
        <patternFill>
          <bgColor indexed="9"/>
        </patternFill>
      </fill>
    </dxf>
    <dxf>
      <fill>
        <patternFill>
          <bgColor indexed="52"/>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dxf>
    <dxf>
      <fill>
        <patternFill>
          <bgColor indexed="52"/>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dxf>
    <dxf>
      <fill>
        <patternFill>
          <bgColor indexed="52"/>
        </patternFill>
      </fill>
    </dxf>
    <dxf>
      <fill>
        <patternFill>
          <bgColor indexed="52"/>
        </patternFill>
      </fill>
    </dxf>
    <dxf>
      <fill>
        <patternFill>
          <bgColor indexed="52"/>
        </patternFill>
      </fill>
    </dxf>
    <dxf>
      <font>
        <condense val="0"/>
        <extend val="0"/>
        <color indexed="9"/>
      </font>
      <fill>
        <patternFill>
          <bgColor indexed="9"/>
        </patternFill>
      </fill>
    </dxf>
    <dxf>
      <fill>
        <patternFill>
          <bgColor indexed="52"/>
        </patternFill>
      </fill>
    </dxf>
    <dxf>
      <fill>
        <patternFill>
          <bgColor indexed="52"/>
        </patternFill>
      </fill>
    </dxf>
    <dxf>
      <fill>
        <patternFill>
          <bgColor indexed="11"/>
        </patternFill>
      </fill>
    </dxf>
    <dxf>
      <font>
        <condense val="0"/>
        <extend val="0"/>
        <color indexed="9"/>
      </font>
      <fill>
        <patternFill>
          <bgColor indexed="9"/>
        </patternFill>
      </fill>
    </dxf>
    <dxf>
      <font>
        <condense val="0"/>
        <extend val="0"/>
        <color indexed="9"/>
      </font>
      <fill>
        <patternFill>
          <bgColor indexed="9"/>
        </patternFill>
      </fill>
    </dxf>
    <dxf>
      <fill>
        <patternFill>
          <bgColor indexed="52"/>
        </patternFill>
      </fill>
    </dxf>
    <dxf>
      <font>
        <condense val="0"/>
        <extend val="0"/>
        <color indexed="9"/>
      </font>
      <fill>
        <patternFill>
          <bgColor indexed="9"/>
        </patternFill>
      </fill>
    </dxf>
    <dxf>
      <fill>
        <patternFill>
          <bgColor indexed="52"/>
        </patternFill>
      </fill>
    </dxf>
    <dxf>
      <font>
        <condense val="0"/>
        <extend val="0"/>
        <color indexed="9"/>
      </font>
      <fill>
        <patternFill>
          <bgColor indexed="9"/>
        </patternFill>
      </fill>
    </dxf>
    <dxf>
      <fill>
        <patternFill>
          <bgColor indexed="52"/>
        </patternFill>
      </fill>
    </dxf>
    <dxf>
      <font>
        <condense val="0"/>
        <extend val="0"/>
        <color indexed="9"/>
      </font>
      <fill>
        <patternFill>
          <bgColor indexed="9"/>
        </patternFill>
      </fill>
    </dxf>
    <dxf>
      <font>
        <condense val="0"/>
        <extend val="0"/>
        <color indexed="9"/>
      </font>
      <fill>
        <patternFill>
          <bgColor indexed="9"/>
        </patternFill>
      </fill>
    </dxf>
    <dxf>
      <fill>
        <patternFill>
          <bgColor indexed="52"/>
        </patternFill>
      </fill>
    </dxf>
    <dxf>
      <font>
        <condense val="0"/>
        <extend val="0"/>
        <color indexed="9"/>
      </font>
      <fill>
        <patternFill>
          <bgColor indexed="9"/>
        </patternFill>
      </fill>
    </dxf>
    <dxf>
      <fill>
        <patternFill>
          <bgColor indexed="10"/>
        </patternFill>
      </fill>
    </dxf>
    <dxf>
      <fill>
        <patternFill>
          <bgColor indexed="10"/>
        </patternFill>
      </fill>
    </dxf>
    <dxf>
      <fill>
        <patternFill>
          <bgColor indexed="1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DDDDDD"/>
      <rgbColor rgb="00003366"/>
      <rgbColor rgb="00339966"/>
      <rgbColor rgb="00003300"/>
      <rgbColor rgb="00333300"/>
      <rgbColor rgb="00993300"/>
      <rgbColor rgb="00993366"/>
      <rgbColor rgb="00333399"/>
      <rgbColor rgb="00333333"/>
    </indexedColors>
    <mruColors>
      <color rgb="FF99CCFF"/>
      <color rgb="FFFF9900"/>
      <color rgb="FFCCFFCC"/>
      <color rgb="FF00FF00"/>
      <color rgb="FFFFFF64"/>
      <color rgb="FFFFFF96"/>
      <color rgb="FFCCFFFF"/>
      <color rgb="FFFFFF99"/>
      <color rgb="FFFF99C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microsoft.com/office/2006/relationships/vbaProject" Target="vbaProject.bin"/><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30-EC42-11CE-9E0D-00AA006002F3}" ax:persistence="persistStreamInit" r:id="rId1"/>
</file>

<file path=xl/activeX/activeX2.xml><?xml version="1.0" encoding="utf-8"?>
<ax:ocx xmlns:ax="http://schemas.microsoft.com/office/2006/activeX" xmlns:r="http://schemas.openxmlformats.org/officeDocument/2006/relationships" ax:classid="{8BD21D30-EC42-11CE-9E0D-00AA006002F3}" ax:persistence="persistStreamInit" r:id="rId1"/>
</file>

<file path=xl/activeX/activeX20.xml><?xml version="1.0" encoding="utf-8"?>
<ax:ocx xmlns:ax="http://schemas.microsoft.com/office/2006/activeX" xmlns:r="http://schemas.openxmlformats.org/officeDocument/2006/relationships" ax:classid="{8BD21D30-EC42-11CE-9E0D-00AA006002F3}" ax:persistence="persistStreamInit" r:id="rId1"/>
</file>

<file path=xl/activeX/activeX21.xml><?xml version="1.0" encoding="utf-8"?>
<ax:ocx xmlns:ax="http://schemas.microsoft.com/office/2006/activeX" xmlns:r="http://schemas.openxmlformats.org/officeDocument/2006/relationships" ax:classid="{8BD21D30-EC42-11CE-9E0D-00AA006002F3}" ax:persistence="persistStreamInit" r:id="rId1"/>
</file>

<file path=xl/activeX/activeX22.xml><?xml version="1.0" encoding="utf-8"?>
<ax:ocx xmlns:ax="http://schemas.microsoft.com/office/2006/activeX" xmlns:r="http://schemas.openxmlformats.org/officeDocument/2006/relationships" ax:classid="{8BD21D30-EC42-11CE-9E0D-00AA006002F3}" ax:persistence="persistStreamInit" r:id="rId1"/>
</file>

<file path=xl/activeX/activeX23.xml><?xml version="1.0" encoding="utf-8"?>
<ax:ocx xmlns:ax="http://schemas.microsoft.com/office/2006/activeX" xmlns:r="http://schemas.openxmlformats.org/officeDocument/2006/relationships" ax:classid="{8BD21D30-EC42-11CE-9E0D-00AA006002F3}" ax:persistence="persistStreamInit" r:id="rId1"/>
</file>

<file path=xl/activeX/activeX24.xml><?xml version="1.0" encoding="utf-8"?>
<ax:ocx xmlns:ax="http://schemas.microsoft.com/office/2006/activeX" xmlns:r="http://schemas.openxmlformats.org/officeDocument/2006/relationships" ax:classid="{8BD21D30-EC42-11CE-9E0D-00AA006002F3}" ax:persistence="persistStreamInit" r:id="rId1"/>
</file>

<file path=xl/activeX/activeX25.xml><?xml version="1.0" encoding="utf-8"?>
<ax:ocx xmlns:ax="http://schemas.microsoft.com/office/2006/activeX" xmlns:r="http://schemas.openxmlformats.org/officeDocument/2006/relationships" ax:classid="{8BD21D30-EC42-11CE-9E0D-00AA006002F3}" ax:persistence="persistStreamInit" r:id="rId1"/>
</file>

<file path=xl/activeX/activeX26.xml><?xml version="1.0" encoding="utf-8"?>
<ax:ocx xmlns:ax="http://schemas.microsoft.com/office/2006/activeX" xmlns:r="http://schemas.openxmlformats.org/officeDocument/2006/relationships" ax:classid="{D7053240-CE69-11CD-A777-00DD01143C57}" ax:persistence="persistStreamInit" r:id="rId1"/>
</file>

<file path=xl/activeX/activeX27.xml><?xml version="1.0" encoding="utf-8"?>
<ax:ocx xmlns:ax="http://schemas.microsoft.com/office/2006/activeX" xmlns:r="http://schemas.openxmlformats.org/officeDocument/2006/relationships" ax:classid="{D7053240-CE69-11CD-A777-00DD01143C57}" ax:persistence="persistStreamInit" r:id="rId1"/>
</file>

<file path=xl/activeX/activeX28.xml><?xml version="1.0" encoding="utf-8"?>
<ax:ocx xmlns:ax="http://schemas.microsoft.com/office/2006/activeX" xmlns:r="http://schemas.openxmlformats.org/officeDocument/2006/relationships" ax:classid="{8BD21D30-EC42-11CE-9E0D-00AA006002F3}" ax:persistence="persistStreamInit" r:id="rId1"/>
</file>

<file path=xl/activeX/activeX29.xml><?xml version="1.0" encoding="utf-8"?>
<ax:ocx xmlns:ax="http://schemas.microsoft.com/office/2006/activeX" xmlns:r="http://schemas.openxmlformats.org/officeDocument/2006/relationships" ax:classid="{8BD21D30-EC42-11CE-9E0D-00AA006002F3}"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activeX/activeX30.xml><?xml version="1.0" encoding="utf-8"?>
<ax:ocx xmlns:ax="http://schemas.microsoft.com/office/2006/activeX" xmlns:r="http://schemas.openxmlformats.org/officeDocument/2006/relationships" ax:classid="{8BD21D30-EC42-11CE-9E0D-00AA006002F3}" ax:persistence="persistStreamInit" r:id="rId1"/>
</file>

<file path=xl/activeX/activeX31.xml><?xml version="1.0" encoding="utf-8"?>
<ax:ocx xmlns:ax="http://schemas.microsoft.com/office/2006/activeX" xmlns:r="http://schemas.openxmlformats.org/officeDocument/2006/relationships" ax:classid="{8BD21D30-EC42-11CE-9E0D-00AA006002F3}" ax:persistence="persistStreamInit" r:id="rId1"/>
</file>

<file path=xl/activeX/activeX32.xml><?xml version="1.0" encoding="utf-8"?>
<ax:ocx xmlns:ax="http://schemas.microsoft.com/office/2006/activeX" xmlns:r="http://schemas.openxmlformats.org/officeDocument/2006/relationships" ax:classid="{8BD21D30-EC42-11CE-9E0D-00AA006002F3}" ax:persistence="persistStreamInit" r:id="rId1"/>
</file>

<file path=xl/activeX/activeX33.xml><?xml version="1.0" encoding="utf-8"?>
<ax:ocx xmlns:ax="http://schemas.microsoft.com/office/2006/activeX" xmlns:r="http://schemas.openxmlformats.org/officeDocument/2006/relationships" ax:classid="{8BD21D30-EC42-11CE-9E0D-00AA006002F3}" ax:persistence="persistStreamInit" r:id="rId1"/>
</file>

<file path=xl/activeX/activeX34.xml><?xml version="1.0" encoding="utf-8"?>
<ax:ocx xmlns:ax="http://schemas.microsoft.com/office/2006/activeX" xmlns:r="http://schemas.openxmlformats.org/officeDocument/2006/relationships" ax:classid="{8BD21D3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3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46.xml><?xml version="1.0" encoding="utf-8"?>
<ax:ocx xmlns:ax="http://schemas.microsoft.com/office/2006/activeX" xmlns:r="http://schemas.openxmlformats.org/officeDocument/2006/relationships" ax:classid="{8BD21D40-EC42-11CE-9E0D-00AA006002F3}" ax:persistence="persistStreamInit" r:id="rId1"/>
</file>

<file path=xl/activeX/activeX47.xml><?xml version="1.0" encoding="utf-8"?>
<ax:ocx xmlns:ax="http://schemas.microsoft.com/office/2006/activeX" xmlns:r="http://schemas.openxmlformats.org/officeDocument/2006/relationships" ax:classid="{8BD21D30-EC42-11CE-9E0D-00AA006002F3}" ax:persistence="persistStreamInit" r:id="rId1"/>
</file>

<file path=xl/activeX/activeX48.xml><?xml version="1.0" encoding="utf-8"?>
<ax:ocx xmlns:ax="http://schemas.microsoft.com/office/2006/activeX" xmlns:r="http://schemas.openxmlformats.org/officeDocument/2006/relationships" ax:classid="{8BD21D30-EC42-11CE-9E0D-00AA006002F3}" ax:persistence="persistStreamInit" r:id="rId1"/>
</file>

<file path=xl/activeX/activeX49.xml><?xml version="1.0" encoding="utf-8"?>
<ax:ocx xmlns:ax="http://schemas.microsoft.com/office/2006/activeX" xmlns:r="http://schemas.openxmlformats.org/officeDocument/2006/relationships" ax:classid="{8BD21D30-EC42-11CE-9E0D-00AA006002F3}" ax:persistence="persistStreamInit" r:id="rId1"/>
</file>

<file path=xl/activeX/activeX5.xml><?xml version="1.0" encoding="utf-8"?>
<ax:ocx xmlns:ax="http://schemas.microsoft.com/office/2006/activeX" xmlns:r="http://schemas.openxmlformats.org/officeDocument/2006/relationships" ax:classid="{8BD21D30-EC42-11CE-9E0D-00AA006002F3}" ax:persistence="persistStreamInit" r:id="rId1"/>
</file>

<file path=xl/activeX/activeX50.xml><?xml version="1.0" encoding="utf-8"?>
<ax:ocx xmlns:ax="http://schemas.microsoft.com/office/2006/activeX" xmlns:r="http://schemas.openxmlformats.org/officeDocument/2006/relationships" ax:classid="{D7053240-CE69-11CD-A777-00DD01143C57}" ax:persistence="persistStreamInit" r:id="rId1"/>
</file>

<file path=xl/activeX/activeX51.xml><?xml version="1.0" encoding="utf-8"?>
<ax:ocx xmlns:ax="http://schemas.microsoft.com/office/2006/activeX" xmlns:r="http://schemas.openxmlformats.org/officeDocument/2006/relationships" ax:classid="{8BD21D30-EC42-11CE-9E0D-00AA006002F3}" ax:persistence="persistStreamInit" r:id="rId1"/>
</file>

<file path=xl/activeX/activeX52.xml><?xml version="1.0" encoding="utf-8"?>
<ax:ocx xmlns:ax="http://schemas.microsoft.com/office/2006/activeX" xmlns:r="http://schemas.openxmlformats.org/officeDocument/2006/relationships" ax:classid="{D7053240-CE69-11CD-A777-00DD01143C57}" ax:persistence="persistStreamInit" r:id="rId1"/>
</file>

<file path=xl/activeX/activeX6.xml><?xml version="1.0" encoding="utf-8"?>
<ax:ocx xmlns:ax="http://schemas.microsoft.com/office/2006/activeX" xmlns:r="http://schemas.openxmlformats.org/officeDocument/2006/relationships" ax:classid="{8BD21D3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ctrlProps/ctrlProp1.xml><?xml version="1.0" encoding="utf-8"?>
<formControlPr xmlns="http://schemas.microsoft.com/office/spreadsheetml/2009/9/main" objectType="Drop" dropLines="2" dropStyle="combo" dx="20" fmlaLink="$E$41" fmlaRange="$E$33:$E$34" noThreeD="1" sel="1" val="0"/>
</file>

<file path=xl/ctrlProps/ctrlProp2.xml><?xml version="1.0" encoding="utf-8"?>
<formControlPr xmlns="http://schemas.microsoft.com/office/spreadsheetml/2009/9/main" objectType="Drop" dropLines="5" dropStyle="combo" dx="20" fmlaLink="$E$56" fmlaRange="$E$44:$E$45" noThreeD="1" sel="1" val="0"/>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8" Type="http://schemas.openxmlformats.org/officeDocument/2006/relationships/image" Target="../media/image15.png"/><Relationship Id="rId13" Type="http://schemas.openxmlformats.org/officeDocument/2006/relationships/image" Target="../media/image20.png"/><Relationship Id="rId3" Type="http://schemas.openxmlformats.org/officeDocument/2006/relationships/image" Target="../media/image10.png"/><Relationship Id="rId7" Type="http://schemas.openxmlformats.org/officeDocument/2006/relationships/image" Target="../media/image14.png"/><Relationship Id="rId12" Type="http://schemas.openxmlformats.org/officeDocument/2006/relationships/image" Target="../media/image19.png"/><Relationship Id="rId2" Type="http://schemas.openxmlformats.org/officeDocument/2006/relationships/image" Target="../media/image9.png"/><Relationship Id="rId16" Type="http://schemas.openxmlformats.org/officeDocument/2006/relationships/image" Target="../media/image23.png"/><Relationship Id="rId1" Type="http://schemas.openxmlformats.org/officeDocument/2006/relationships/image" Target="../media/image8.png"/><Relationship Id="rId6" Type="http://schemas.openxmlformats.org/officeDocument/2006/relationships/image" Target="../media/image13.png"/><Relationship Id="rId11" Type="http://schemas.openxmlformats.org/officeDocument/2006/relationships/image" Target="../media/image18.png"/><Relationship Id="rId5" Type="http://schemas.openxmlformats.org/officeDocument/2006/relationships/image" Target="../media/image12.png"/><Relationship Id="rId15" Type="http://schemas.openxmlformats.org/officeDocument/2006/relationships/image" Target="../media/image2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png"/><Relationship Id="rId14"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5" Type="http://schemas.openxmlformats.org/officeDocument/2006/relationships/image" Target="../media/image7.emf"/><Relationship Id="rId4" Type="http://schemas.openxmlformats.org/officeDocument/2006/relationships/image" Target="../media/image6.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78.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5.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5.jpeg"/></Relationships>
</file>

<file path=xl/drawings/_rels/vmlDrawing5.vml.rels><?xml version="1.0" encoding="UTF-8" standalone="yes"?>
<Relationships xmlns="http://schemas.openxmlformats.org/package/2006/relationships"><Relationship Id="rId8" Type="http://schemas.openxmlformats.org/officeDocument/2006/relationships/image" Target="../media/image44.emf"/><Relationship Id="rId13" Type="http://schemas.openxmlformats.org/officeDocument/2006/relationships/image" Target="../media/image39.emf"/><Relationship Id="rId18" Type="http://schemas.openxmlformats.org/officeDocument/2006/relationships/image" Target="../media/image34.emf"/><Relationship Id="rId26" Type="http://schemas.openxmlformats.org/officeDocument/2006/relationships/image" Target="../media/image26.emf"/><Relationship Id="rId3" Type="http://schemas.openxmlformats.org/officeDocument/2006/relationships/image" Target="../media/image49.emf"/><Relationship Id="rId21" Type="http://schemas.openxmlformats.org/officeDocument/2006/relationships/image" Target="../media/image31.emf"/><Relationship Id="rId7" Type="http://schemas.openxmlformats.org/officeDocument/2006/relationships/image" Target="../media/image45.emf"/><Relationship Id="rId12" Type="http://schemas.openxmlformats.org/officeDocument/2006/relationships/image" Target="../media/image40.emf"/><Relationship Id="rId17" Type="http://schemas.openxmlformats.org/officeDocument/2006/relationships/image" Target="../media/image35.emf"/><Relationship Id="rId25" Type="http://schemas.openxmlformats.org/officeDocument/2006/relationships/image" Target="../media/image27.emf"/><Relationship Id="rId2" Type="http://schemas.openxmlformats.org/officeDocument/2006/relationships/image" Target="../media/image50.emf"/><Relationship Id="rId16" Type="http://schemas.openxmlformats.org/officeDocument/2006/relationships/image" Target="../media/image36.emf"/><Relationship Id="rId20" Type="http://schemas.openxmlformats.org/officeDocument/2006/relationships/image" Target="../media/image32.emf"/><Relationship Id="rId1" Type="http://schemas.openxmlformats.org/officeDocument/2006/relationships/image" Target="../media/image51.emf"/><Relationship Id="rId6" Type="http://schemas.openxmlformats.org/officeDocument/2006/relationships/image" Target="../media/image46.emf"/><Relationship Id="rId11" Type="http://schemas.openxmlformats.org/officeDocument/2006/relationships/image" Target="../media/image41.emf"/><Relationship Id="rId24" Type="http://schemas.openxmlformats.org/officeDocument/2006/relationships/image" Target="../media/image28.emf"/><Relationship Id="rId5" Type="http://schemas.openxmlformats.org/officeDocument/2006/relationships/image" Target="../media/image47.emf"/><Relationship Id="rId15" Type="http://schemas.openxmlformats.org/officeDocument/2006/relationships/image" Target="../media/image37.emf"/><Relationship Id="rId23" Type="http://schemas.openxmlformats.org/officeDocument/2006/relationships/image" Target="../media/image29.emf"/><Relationship Id="rId10" Type="http://schemas.openxmlformats.org/officeDocument/2006/relationships/image" Target="../media/image42.emf"/><Relationship Id="rId19" Type="http://schemas.openxmlformats.org/officeDocument/2006/relationships/image" Target="../media/image33.emf"/><Relationship Id="rId4" Type="http://schemas.openxmlformats.org/officeDocument/2006/relationships/image" Target="../media/image48.emf"/><Relationship Id="rId9" Type="http://schemas.openxmlformats.org/officeDocument/2006/relationships/image" Target="../media/image43.emf"/><Relationship Id="rId14" Type="http://schemas.openxmlformats.org/officeDocument/2006/relationships/image" Target="../media/image38.emf"/><Relationship Id="rId22" Type="http://schemas.openxmlformats.org/officeDocument/2006/relationships/image" Target="../media/image30.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4.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5.jpeg"/></Relationships>
</file>

<file path=xl/drawings/_rels/vmlDrawing8.vml.rels><?xml version="1.0" encoding="UTF-8" standalone="yes"?>
<Relationships xmlns="http://schemas.openxmlformats.org/package/2006/relationships"><Relationship Id="rId8" Type="http://schemas.openxmlformats.org/officeDocument/2006/relationships/image" Target="../media/image59.emf"/><Relationship Id="rId13" Type="http://schemas.openxmlformats.org/officeDocument/2006/relationships/image" Target="../media/image64.emf"/><Relationship Id="rId18" Type="http://schemas.openxmlformats.org/officeDocument/2006/relationships/image" Target="../media/image69.emf"/><Relationship Id="rId26" Type="http://schemas.openxmlformats.org/officeDocument/2006/relationships/image" Target="../media/image77.emf"/><Relationship Id="rId3" Type="http://schemas.openxmlformats.org/officeDocument/2006/relationships/image" Target="../media/image54.emf"/><Relationship Id="rId21" Type="http://schemas.openxmlformats.org/officeDocument/2006/relationships/image" Target="../media/image72.emf"/><Relationship Id="rId7" Type="http://schemas.openxmlformats.org/officeDocument/2006/relationships/image" Target="../media/image58.emf"/><Relationship Id="rId12" Type="http://schemas.openxmlformats.org/officeDocument/2006/relationships/image" Target="../media/image63.emf"/><Relationship Id="rId17" Type="http://schemas.openxmlformats.org/officeDocument/2006/relationships/image" Target="../media/image68.emf"/><Relationship Id="rId25" Type="http://schemas.openxmlformats.org/officeDocument/2006/relationships/image" Target="../media/image76.emf"/><Relationship Id="rId2" Type="http://schemas.openxmlformats.org/officeDocument/2006/relationships/image" Target="../media/image53.emf"/><Relationship Id="rId16" Type="http://schemas.openxmlformats.org/officeDocument/2006/relationships/image" Target="../media/image67.emf"/><Relationship Id="rId20" Type="http://schemas.openxmlformats.org/officeDocument/2006/relationships/image" Target="../media/image71.emf"/><Relationship Id="rId1" Type="http://schemas.openxmlformats.org/officeDocument/2006/relationships/image" Target="../media/image52.emf"/><Relationship Id="rId6" Type="http://schemas.openxmlformats.org/officeDocument/2006/relationships/image" Target="../media/image57.emf"/><Relationship Id="rId11" Type="http://schemas.openxmlformats.org/officeDocument/2006/relationships/image" Target="../media/image62.emf"/><Relationship Id="rId24" Type="http://schemas.openxmlformats.org/officeDocument/2006/relationships/image" Target="../media/image75.emf"/><Relationship Id="rId5" Type="http://schemas.openxmlformats.org/officeDocument/2006/relationships/image" Target="../media/image56.emf"/><Relationship Id="rId15" Type="http://schemas.openxmlformats.org/officeDocument/2006/relationships/image" Target="../media/image66.emf"/><Relationship Id="rId23" Type="http://schemas.openxmlformats.org/officeDocument/2006/relationships/image" Target="../media/image74.emf"/><Relationship Id="rId10" Type="http://schemas.openxmlformats.org/officeDocument/2006/relationships/image" Target="../media/image61.emf"/><Relationship Id="rId19" Type="http://schemas.openxmlformats.org/officeDocument/2006/relationships/image" Target="../media/image70.emf"/><Relationship Id="rId4" Type="http://schemas.openxmlformats.org/officeDocument/2006/relationships/image" Target="../media/image55.emf"/><Relationship Id="rId9" Type="http://schemas.openxmlformats.org/officeDocument/2006/relationships/image" Target="../media/image60.emf"/><Relationship Id="rId14" Type="http://schemas.openxmlformats.org/officeDocument/2006/relationships/image" Target="../media/image65.emf"/><Relationship Id="rId22" Type="http://schemas.openxmlformats.org/officeDocument/2006/relationships/image" Target="../media/image73.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24.jpeg"/></Relationships>
</file>

<file path=xl/drawings/drawing1.xml><?xml version="1.0" encoding="utf-8"?>
<xdr:wsDr xmlns:xdr="http://schemas.openxmlformats.org/drawingml/2006/spreadsheetDrawing" xmlns:a="http://schemas.openxmlformats.org/drawingml/2006/main">
  <xdr:twoCellAnchor editAs="oneCell">
    <xdr:from>
      <xdr:col>0</xdr:col>
      <xdr:colOff>93134</xdr:colOff>
      <xdr:row>0</xdr:row>
      <xdr:rowOff>101600</xdr:rowOff>
    </xdr:from>
    <xdr:to>
      <xdr:col>1</xdr:col>
      <xdr:colOff>154094</xdr:colOff>
      <xdr:row>2</xdr:row>
      <xdr:rowOff>1694</xdr:rowOff>
    </xdr:to>
    <xdr:pic>
      <xdr:nvPicPr>
        <xdr:cNvPr id="5810" name="Picture 1">
          <a:extLst>
            <a:ext uri="{FF2B5EF4-FFF2-40B4-BE49-F238E27FC236}">
              <a16:creationId xmlns:a16="http://schemas.microsoft.com/office/drawing/2014/main" id="{00000000-0008-0000-0000-0000B21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134" y="101600"/>
          <a:ext cx="1500293" cy="2218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423333</xdr:colOff>
      <xdr:row>8</xdr:row>
      <xdr:rowOff>8468</xdr:rowOff>
    </xdr:from>
    <xdr:to>
      <xdr:col>1</xdr:col>
      <xdr:colOff>1221426</xdr:colOff>
      <xdr:row>16</xdr:row>
      <xdr:rowOff>50577</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2"/>
        <a:stretch>
          <a:fillRect/>
        </a:stretch>
      </xdr:blipFill>
      <xdr:spPr>
        <a:xfrm>
          <a:off x="423333" y="1295401"/>
          <a:ext cx="2237426" cy="13290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180</xdr:row>
      <xdr:rowOff>0</xdr:rowOff>
    </xdr:from>
    <xdr:to>
      <xdr:col>0</xdr:col>
      <xdr:colOff>8890</xdr:colOff>
      <xdr:row>180</xdr:row>
      <xdr:rowOff>17780</xdr:rowOff>
    </xdr:to>
    <xdr:sp macro="" textlink="">
      <xdr:nvSpPr>
        <xdr:cNvPr id="2" name="AutoShape 23">
          <a:extLst>
            <a:ext uri="{FF2B5EF4-FFF2-40B4-BE49-F238E27FC236}">
              <a16:creationId xmlns:a16="http://schemas.microsoft.com/office/drawing/2014/main" id="{00000000-0008-0000-0200-000002000000}"/>
            </a:ext>
          </a:extLst>
        </xdr:cNvPr>
        <xdr:cNvSpPr>
          <a:spLocks noChangeAspect="1" noChangeArrowheads="1"/>
        </xdr:cNvSpPr>
      </xdr:nvSpPr>
      <xdr:spPr bwMode="auto">
        <a:xfrm>
          <a:off x="0" y="39875460"/>
          <a:ext cx="7620" cy="1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editAs="oneCell">
    <xdr:from>
      <xdr:col>0</xdr:col>
      <xdr:colOff>38100</xdr:colOff>
      <xdr:row>358</xdr:row>
      <xdr:rowOff>133350</xdr:rowOff>
    </xdr:from>
    <xdr:to>
      <xdr:col>0</xdr:col>
      <xdr:colOff>5123180</xdr:colOff>
      <xdr:row>386</xdr:row>
      <xdr:rowOff>96520</xdr:rowOff>
    </xdr:to>
    <xdr:pic>
      <xdr:nvPicPr>
        <xdr:cNvPr id="3" name="Picture 600">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79057500"/>
          <a:ext cx="5082540" cy="4404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38100</xdr:colOff>
      <xdr:row>387</xdr:row>
      <xdr:rowOff>101600</xdr:rowOff>
    </xdr:from>
    <xdr:to>
      <xdr:col>0</xdr:col>
      <xdr:colOff>5152390</xdr:colOff>
      <xdr:row>396</xdr:row>
      <xdr:rowOff>113030</xdr:rowOff>
    </xdr:to>
    <xdr:pic>
      <xdr:nvPicPr>
        <xdr:cNvPr id="4" name="Picture 601">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 y="83659980"/>
          <a:ext cx="5113020" cy="1440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69850</xdr:colOff>
          <xdr:row>182</xdr:row>
          <xdr:rowOff>114300</xdr:rowOff>
        </xdr:from>
        <xdr:to>
          <xdr:col>0</xdr:col>
          <xdr:colOff>9023350</xdr:colOff>
          <xdr:row>198</xdr:row>
          <xdr:rowOff>114300</xdr:rowOff>
        </xdr:to>
        <xdr:sp macro="" textlink="">
          <xdr:nvSpPr>
            <xdr:cNvPr id="2649089" name="Object 1" hidden="1">
              <a:extLst>
                <a:ext uri="{63B3BB69-23CF-44E3-9099-C40C66FF867C}">
                  <a14:compatExt spid="_x0000_s2649089"/>
                </a:ext>
                <a:ext uri="{FF2B5EF4-FFF2-40B4-BE49-F238E27FC236}">
                  <a16:creationId xmlns:a16="http://schemas.microsoft.com/office/drawing/2014/main" id="{00000000-0008-0000-0200-0000016C28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69850</xdr:colOff>
          <xdr:row>204</xdr:row>
          <xdr:rowOff>95250</xdr:rowOff>
        </xdr:from>
        <xdr:to>
          <xdr:col>1</xdr:col>
          <xdr:colOff>12700</xdr:colOff>
          <xdr:row>222</xdr:row>
          <xdr:rowOff>0</xdr:rowOff>
        </xdr:to>
        <xdr:sp macro="" textlink="">
          <xdr:nvSpPr>
            <xdr:cNvPr id="2649090" name="Object 2" hidden="1">
              <a:extLst>
                <a:ext uri="{63B3BB69-23CF-44E3-9099-C40C66FF867C}">
                  <a14:compatExt spid="_x0000_s2649090"/>
                </a:ext>
                <a:ext uri="{FF2B5EF4-FFF2-40B4-BE49-F238E27FC236}">
                  <a16:creationId xmlns:a16="http://schemas.microsoft.com/office/drawing/2014/main" id="{00000000-0008-0000-0200-0000026C28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241300</xdr:colOff>
          <xdr:row>227</xdr:row>
          <xdr:rowOff>127000</xdr:rowOff>
        </xdr:from>
        <xdr:to>
          <xdr:col>0</xdr:col>
          <xdr:colOff>1803400</xdr:colOff>
          <xdr:row>231</xdr:row>
          <xdr:rowOff>38100</xdr:rowOff>
        </xdr:to>
        <xdr:sp macro="" textlink="">
          <xdr:nvSpPr>
            <xdr:cNvPr id="2649091" name="Object 3" hidden="1">
              <a:extLst>
                <a:ext uri="{63B3BB69-23CF-44E3-9099-C40C66FF867C}">
                  <a14:compatExt spid="_x0000_s2649091"/>
                </a:ext>
                <a:ext uri="{FF2B5EF4-FFF2-40B4-BE49-F238E27FC236}">
                  <a16:creationId xmlns:a16="http://schemas.microsoft.com/office/drawing/2014/main" id="{00000000-0008-0000-0200-0000036C28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241300</xdr:colOff>
          <xdr:row>237</xdr:row>
          <xdr:rowOff>50800</xdr:rowOff>
        </xdr:from>
        <xdr:to>
          <xdr:col>0</xdr:col>
          <xdr:colOff>850900</xdr:colOff>
          <xdr:row>238</xdr:row>
          <xdr:rowOff>88900</xdr:rowOff>
        </xdr:to>
        <xdr:sp macro="" textlink="">
          <xdr:nvSpPr>
            <xdr:cNvPr id="2649092" name="Object 4" hidden="1">
              <a:extLst>
                <a:ext uri="{63B3BB69-23CF-44E3-9099-C40C66FF867C}">
                  <a14:compatExt spid="_x0000_s2649092"/>
                </a:ext>
                <a:ext uri="{FF2B5EF4-FFF2-40B4-BE49-F238E27FC236}">
                  <a16:creationId xmlns:a16="http://schemas.microsoft.com/office/drawing/2014/main" id="{00000000-0008-0000-0200-0000046C28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240</xdr:row>
          <xdr:rowOff>19050</xdr:rowOff>
        </xdr:from>
        <xdr:to>
          <xdr:col>0</xdr:col>
          <xdr:colOff>1727200</xdr:colOff>
          <xdr:row>241</xdr:row>
          <xdr:rowOff>107950</xdr:rowOff>
        </xdr:to>
        <xdr:sp macro="" textlink="">
          <xdr:nvSpPr>
            <xdr:cNvPr id="2649093" name="Object 5" hidden="1">
              <a:extLst>
                <a:ext uri="{63B3BB69-23CF-44E3-9099-C40C66FF867C}">
                  <a14:compatExt spid="_x0000_s2649093"/>
                </a:ext>
                <a:ext uri="{FF2B5EF4-FFF2-40B4-BE49-F238E27FC236}">
                  <a16:creationId xmlns:a16="http://schemas.microsoft.com/office/drawing/2014/main" id="{00000000-0008-0000-0200-0000056C28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0</xdr:col>
      <xdr:colOff>38100</xdr:colOff>
      <xdr:row>12</xdr:row>
      <xdr:rowOff>28575</xdr:rowOff>
    </xdr:from>
    <xdr:to>
      <xdr:col>0</xdr:col>
      <xdr:colOff>8637194</xdr:colOff>
      <xdr:row>21</xdr:row>
      <xdr:rowOff>266700</xdr:rowOff>
    </xdr:to>
    <xdr:pic>
      <xdr:nvPicPr>
        <xdr:cNvPr id="10" name="Picture 9">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 y="2333625"/>
          <a:ext cx="9008669" cy="1863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109</xdr:row>
      <xdr:rowOff>38100</xdr:rowOff>
    </xdr:from>
    <xdr:to>
      <xdr:col>0</xdr:col>
      <xdr:colOff>4429119</xdr:colOff>
      <xdr:row>111</xdr:row>
      <xdr:rowOff>23994</xdr:rowOff>
    </xdr:to>
    <mc:AlternateContent xmlns:mc="http://schemas.openxmlformats.org/markup-compatibility/2006" xmlns:a14="http://schemas.microsoft.com/office/drawing/2010/main">
      <mc:Choice Requires="a14">
        <xdr:sp macro="" textlink="">
          <xdr:nvSpPr>
            <xdr:cNvPr id="11" name="Object 6">
              <a:extLst>
                <a:ext uri="{63B3BB69-23CF-44E3-9099-C40C66FF867C}">
                  <a14:compatExt spid="_x0000_s893958"/>
                </a:ext>
                <a:ext uri="{FF2B5EF4-FFF2-40B4-BE49-F238E27FC236}">
                  <a16:creationId xmlns:a16="http://schemas.microsoft.com/office/drawing/2014/main" id="{00000000-0008-0000-0200-00000B000000}"/>
                </a:ext>
              </a:extLst>
            </xdr:cNvPr>
            <xdr:cNvSpPr txBox="1"/>
          </xdr:nvSpPr>
          <xdr:spPr>
            <a:xfrm>
              <a:off x="164465" y="22692360"/>
              <a:ext cx="4265924" cy="299584"/>
            </a:xfrm>
            <a:prstGeom prst="rect">
              <a:avLst/>
            </a:prstGeom>
          </xdr:spPr>
          <xdr:txBody>
            <a:bodyPr vertOverflow="clip" horzOverflow="clip" wrap="none">
              <a:spAutoFit/>
            </a:bodyPr>
            <a:lstStyle/>
            <a:p>
              <a:pPr/>
              <a14:m>
                <m:oMathPara xmlns:m="http://schemas.openxmlformats.org/officeDocument/2006/math">
                  <m:oMathParaPr>
                    <m:jc m:val="left"/>
                  </m:oMathParaPr>
                  <m:oMath xmlns:m="http://schemas.openxmlformats.org/officeDocument/2006/math">
                    <m:r>
                      <a:rPr lang="en-US" sz="1100" i="1">
                        <a:solidFill>
                          <a:srgbClr val="000000"/>
                        </a:solidFill>
                        <a:latin typeface="Cambria Math" panose="02040503050406030204" pitchFamily="18" charset="0"/>
                        <a:ea typeface="+mn-ea"/>
                        <a:cs typeface="+mn-cs"/>
                      </a:rPr>
                      <m:t>(</m:t>
                    </m:r>
                    <m:sSub>
                      <m:sSubPr>
                        <m:ctrlPr>
                          <a:rPr lang="en-US" sz="1100" i="1">
                            <a:solidFill>
                              <a:srgbClr val="000000"/>
                            </a:solidFill>
                            <a:latin typeface="Cambria Math" panose="02040503050406030204" pitchFamily="18" charset="0"/>
                            <a:ea typeface="+mn-ea"/>
                            <a:cs typeface="+mn-cs"/>
                          </a:rPr>
                        </m:ctrlPr>
                      </m:sSubPr>
                      <m:e>
                        <m:r>
                          <a:rPr lang="en-US" sz="1100" i="1">
                            <a:solidFill>
                              <a:srgbClr val="000000"/>
                            </a:solidFill>
                            <a:latin typeface="Cambria Math" panose="02040503050406030204" pitchFamily="18" charset="0"/>
                            <a:ea typeface="+mn-ea"/>
                            <a:cs typeface="+mn-cs"/>
                          </a:rPr>
                          <m:t>𝐼</m:t>
                        </m:r>
                      </m:e>
                      <m:sub>
                        <m:r>
                          <a:rPr lang="en-US" sz="1100" i="1">
                            <a:solidFill>
                              <a:srgbClr val="000000"/>
                            </a:solidFill>
                            <a:latin typeface="Cambria Math" panose="02040503050406030204" pitchFamily="18" charset="0"/>
                            <a:ea typeface="+mn-ea"/>
                            <a:cs typeface="+mn-cs"/>
                          </a:rPr>
                          <m:t>𝑠𝑡𝑎𝑛</m:t>
                        </m:r>
                        <m:sSub>
                          <m:sSubPr>
                            <m:ctrlPr>
                              <a:rPr lang="en-US" sz="1100" i="1">
                                <a:solidFill>
                                  <a:srgbClr val="000000"/>
                                </a:solidFill>
                                <a:latin typeface="Cambria Math" panose="02040503050406030204" pitchFamily="18" charset="0"/>
                                <a:ea typeface="+mn-ea"/>
                                <a:cs typeface="+mn-cs"/>
                              </a:rPr>
                            </m:ctrlPr>
                          </m:sSubPr>
                          <m:e>
                            <m:r>
                              <a:rPr lang="en-US" sz="1100" i="1">
                                <a:solidFill>
                                  <a:srgbClr val="000000"/>
                                </a:solidFill>
                                <a:latin typeface="Cambria Math" panose="02040503050406030204" pitchFamily="18" charset="0"/>
                                <a:ea typeface="+mn-ea"/>
                                <a:cs typeface="+mn-cs"/>
                              </a:rPr>
                              <m:t>𝑑</m:t>
                            </m:r>
                          </m:e>
                          <m:sub>
                            <m:r>
                              <a:rPr lang="en-US" sz="1100" i="1">
                                <a:solidFill>
                                  <a:srgbClr val="000000"/>
                                </a:solidFill>
                                <a:latin typeface="Cambria Math" panose="02040503050406030204" pitchFamily="18" charset="0"/>
                                <a:ea typeface="+mn-ea"/>
                                <a:cs typeface="+mn-cs"/>
                              </a:rPr>
                              <m:t>𝑏𝑦</m:t>
                            </m:r>
                          </m:sub>
                        </m:sSub>
                      </m:sub>
                    </m:sSub>
                    <m:r>
                      <a:rPr lang="en-US" sz="1100" i="1">
                        <a:solidFill>
                          <a:srgbClr val="000000"/>
                        </a:solidFill>
                        <a:latin typeface="Cambria Math" panose="02040503050406030204" pitchFamily="18" charset="0"/>
                        <a:ea typeface="+mn-ea"/>
                        <a:cs typeface="+mn-cs"/>
                      </a:rPr>
                      <m:t>∗</m:t>
                    </m:r>
                    <m:r>
                      <a:rPr lang="en-US" sz="1100" i="1">
                        <a:solidFill>
                          <a:srgbClr val="000000"/>
                        </a:solidFill>
                        <a:latin typeface="Cambria Math" panose="02040503050406030204" pitchFamily="18" charset="0"/>
                        <a:ea typeface="+mn-ea"/>
                        <a:cs typeface="+mn-cs"/>
                      </a:rPr>
                      <m:t>𝑠𝑡𝑎𝑛𝑑</m:t>
                    </m:r>
                    <m:r>
                      <a:rPr lang="en-US" sz="1100" b="0" i="1">
                        <a:solidFill>
                          <a:srgbClr val="000000"/>
                        </a:solidFill>
                        <a:latin typeface="Cambria Math" panose="02040503050406030204" pitchFamily="18" charset="0"/>
                        <a:ea typeface="+mn-ea"/>
                        <a:cs typeface="+mn-cs"/>
                      </a:rPr>
                      <m:t>_</m:t>
                    </m:r>
                    <m:r>
                      <a:rPr lang="en-US" sz="1100" i="1">
                        <a:solidFill>
                          <a:srgbClr val="000000"/>
                        </a:solidFill>
                        <a:latin typeface="Cambria Math" panose="02040503050406030204" pitchFamily="18" charset="0"/>
                        <a:ea typeface="+mn-ea"/>
                        <a:cs typeface="+mn-cs"/>
                      </a:rPr>
                      <m:t>𝑡𝑖𝑚𝑒</m:t>
                    </m:r>
                    <m:r>
                      <a:rPr lang="en-US" sz="1100" i="1">
                        <a:solidFill>
                          <a:srgbClr val="000000"/>
                        </a:solidFill>
                        <a:latin typeface="Cambria Math" panose="02040503050406030204" pitchFamily="18" charset="0"/>
                        <a:ea typeface="+mn-ea"/>
                        <a:cs typeface="+mn-cs"/>
                      </a:rPr>
                      <m:t>+</m:t>
                    </m:r>
                    <m:sSub>
                      <m:sSubPr>
                        <m:ctrlPr>
                          <a:rPr lang="en-US" sz="1100" i="1">
                            <a:solidFill>
                              <a:srgbClr val="000000"/>
                            </a:solidFill>
                            <a:latin typeface="Cambria Math" panose="02040503050406030204" pitchFamily="18" charset="0"/>
                            <a:ea typeface="+mn-ea"/>
                            <a:cs typeface="+mn-cs"/>
                          </a:rPr>
                        </m:ctrlPr>
                      </m:sSubPr>
                      <m:e>
                        <m:r>
                          <a:rPr lang="en-US" sz="1100" i="1">
                            <a:solidFill>
                              <a:srgbClr val="000000"/>
                            </a:solidFill>
                            <a:latin typeface="Cambria Math" panose="02040503050406030204" pitchFamily="18" charset="0"/>
                            <a:ea typeface="+mn-ea"/>
                            <a:cs typeface="+mn-cs"/>
                          </a:rPr>
                          <m:t>𝐼</m:t>
                        </m:r>
                      </m:e>
                      <m:sub>
                        <m:r>
                          <a:rPr lang="en-US" sz="1100" i="1">
                            <a:solidFill>
                              <a:srgbClr val="000000"/>
                            </a:solidFill>
                            <a:latin typeface="Cambria Math" panose="02040503050406030204" pitchFamily="18" charset="0"/>
                            <a:ea typeface="+mn-ea"/>
                            <a:cs typeface="+mn-cs"/>
                          </a:rPr>
                          <m:t>𝑎𝑙𝑎𝑟𝑚</m:t>
                        </m:r>
                      </m:sub>
                    </m:sSub>
                    <m:r>
                      <a:rPr lang="en-US" sz="1100" i="1">
                        <a:solidFill>
                          <a:srgbClr val="000000"/>
                        </a:solidFill>
                        <a:latin typeface="Cambria Math" panose="02040503050406030204" pitchFamily="18" charset="0"/>
                        <a:ea typeface="+mn-ea"/>
                        <a:cs typeface="+mn-cs"/>
                      </a:rPr>
                      <m:t>∗</m:t>
                    </m:r>
                    <m:r>
                      <a:rPr lang="en-US" sz="1100" i="1">
                        <a:solidFill>
                          <a:srgbClr val="000000"/>
                        </a:solidFill>
                        <a:latin typeface="Cambria Math" panose="02040503050406030204" pitchFamily="18" charset="0"/>
                        <a:ea typeface="+mn-ea"/>
                        <a:cs typeface="+mn-cs"/>
                      </a:rPr>
                      <m:t>𝑎𝑙𝑎𝑟𝑚</m:t>
                    </m:r>
                    <m:r>
                      <a:rPr lang="en-US" sz="1100" i="1">
                        <a:solidFill>
                          <a:srgbClr val="000000"/>
                        </a:solidFill>
                        <a:latin typeface="Cambria Math" panose="02040503050406030204" pitchFamily="18" charset="0"/>
                        <a:ea typeface="+mn-ea"/>
                        <a:cs typeface="+mn-cs"/>
                      </a:rPr>
                      <m:t>_</m:t>
                    </m:r>
                    <m:r>
                      <a:rPr lang="en-US" sz="1100" i="1">
                        <a:solidFill>
                          <a:srgbClr val="000000"/>
                        </a:solidFill>
                        <a:latin typeface="Cambria Math" panose="02040503050406030204" pitchFamily="18" charset="0"/>
                        <a:ea typeface="+mn-ea"/>
                        <a:cs typeface="+mn-cs"/>
                      </a:rPr>
                      <m:t>𝑡𝑖𝑚𝑒</m:t>
                    </m:r>
                    <m:r>
                      <a:rPr lang="en-US" sz="1100" i="1">
                        <a:solidFill>
                          <a:srgbClr val="000000"/>
                        </a:solidFill>
                        <a:latin typeface="Cambria Math" panose="02040503050406030204" pitchFamily="18" charset="0"/>
                        <a:ea typeface="+mn-ea"/>
                        <a:cs typeface="+mn-cs"/>
                      </a:rPr>
                      <m:t>)∗</m:t>
                    </m:r>
                    <m:func>
                      <m:funcPr>
                        <m:ctrlPr>
                          <a:rPr lang="en-US" sz="1100" i="1">
                            <a:solidFill>
                              <a:srgbClr val="000000"/>
                            </a:solidFill>
                            <a:latin typeface="Cambria Math" panose="02040503050406030204" pitchFamily="18" charset="0"/>
                            <a:ea typeface="+mn-ea"/>
                            <a:cs typeface="+mn-cs"/>
                          </a:rPr>
                        </m:ctrlPr>
                      </m:funcPr>
                      <m:fName>
                        <m:r>
                          <m:rPr>
                            <m:sty m:val="p"/>
                          </m:rPr>
                          <a:rPr lang="en-US" sz="1100" i="1">
                            <a:solidFill>
                              <a:srgbClr val="000000"/>
                            </a:solidFill>
                            <a:latin typeface="Cambria Math" panose="02040503050406030204" pitchFamily="18" charset="0"/>
                            <a:ea typeface="+mn-ea"/>
                            <a:cs typeface="+mn-cs"/>
                          </a:rPr>
                          <m:t>sec</m:t>
                        </m:r>
                      </m:fName>
                      <m:e>
                        <m:r>
                          <a:rPr lang="en-US" sz="1100" i="1">
                            <a:solidFill>
                              <a:srgbClr val="000000"/>
                            </a:solidFill>
                            <a:latin typeface="Cambria Math" panose="02040503050406030204" pitchFamily="18" charset="0"/>
                            <a:ea typeface="+mn-ea"/>
                            <a:cs typeface="+mn-cs"/>
                          </a:rPr>
                          <m:t>𝑢</m:t>
                        </m:r>
                      </m:e>
                    </m:func>
                    <m:r>
                      <a:rPr lang="en-US" sz="1100" i="1">
                        <a:solidFill>
                          <a:srgbClr val="000000"/>
                        </a:solidFill>
                        <a:latin typeface="Cambria Math" panose="02040503050406030204" pitchFamily="18" charset="0"/>
                        <a:ea typeface="+mn-ea"/>
                        <a:cs typeface="+mn-cs"/>
                      </a:rPr>
                      <m:t>𝑟𝑖𝑡𝑦</m:t>
                    </m:r>
                    <m:r>
                      <a:rPr lang="en-US" sz="1100" i="1">
                        <a:solidFill>
                          <a:srgbClr val="000000"/>
                        </a:solidFill>
                        <a:latin typeface="Cambria Math" panose="02040503050406030204" pitchFamily="18" charset="0"/>
                        <a:ea typeface="+mn-ea"/>
                        <a:cs typeface="+mn-cs"/>
                      </a:rPr>
                      <m:t>_</m:t>
                    </m:r>
                    <m:r>
                      <a:rPr lang="en-US" sz="1100" i="1">
                        <a:solidFill>
                          <a:srgbClr val="000000"/>
                        </a:solidFill>
                        <a:latin typeface="Cambria Math" panose="02040503050406030204" pitchFamily="18" charset="0"/>
                        <a:ea typeface="+mn-ea"/>
                        <a:cs typeface="+mn-cs"/>
                      </a:rPr>
                      <m:t>𝑓𝑎𝑐𝑡𝑜𝑟</m:t>
                    </m:r>
                  </m:oMath>
                </m:oMathPara>
              </a14:m>
              <a:endParaRPr lang="en-US" sz="1100" i="1">
                <a:solidFill>
                  <a:srgbClr val="000000"/>
                </a:solidFill>
                <a:latin typeface="Cambria Math" panose="02040503050406030204" pitchFamily="18" charset="0"/>
                <a:ea typeface="+mn-ea"/>
                <a:cs typeface="+mn-cs"/>
              </a:endParaRPr>
            </a:p>
          </xdr:txBody>
        </xdr:sp>
      </mc:Choice>
      <mc:Fallback xmlns="">
        <xdr:sp macro="" textlink="">
          <xdr:nvSpPr>
            <xdr:cNvPr id="11" name="Object 6">
              <a:extLst>
                <a:ext uri="{63B3BB69-23CF-44E3-9099-C40C66FF867C}">
                  <a14:compatExt xmlns:a14="http://schemas.microsoft.com/office/drawing/2010/main" spid="_x0000_s893958"/>
                </a:ext>
                <a:ext uri="{FF2B5EF4-FFF2-40B4-BE49-F238E27FC236}">
                  <a16:creationId xmlns:a16="http://schemas.microsoft.com/office/drawing/2014/main" id="{0B9D41FA-2949-4302-B34B-BDF4DE447697}"/>
                </a:ext>
              </a:extLst>
            </xdr:cNvPr>
            <xdr:cNvSpPr txBox="1"/>
          </xdr:nvSpPr>
          <xdr:spPr>
            <a:xfrm>
              <a:off x="164465" y="22692360"/>
              <a:ext cx="4265924" cy="299584"/>
            </a:xfrm>
            <a:prstGeom prst="rect">
              <a:avLst/>
            </a:prstGeom>
          </xdr:spPr>
          <xdr:txBody>
            <a:bodyPr vertOverflow="clip" horzOverflow="clip" wrap="none">
              <a:spAutoFit/>
            </a:bodyPr>
            <a:lstStyle/>
            <a:p>
              <a:pPr/>
              <a:r>
                <a:rPr lang="en-US" sz="1100" i="0">
                  <a:solidFill>
                    <a:srgbClr val="000000"/>
                  </a:solidFill>
                  <a:latin typeface="Cambria Math" panose="02040503050406030204" pitchFamily="18" charset="0"/>
                  <a:ea typeface="+mn-ea"/>
                  <a:cs typeface="+mn-cs"/>
                </a:rPr>
                <a:t>(𝐼_(𝑠𝑡𝑎𝑛𝑑_𝑏𝑦 )∗𝑠𝑡𝑎𝑛𝑑</a:t>
              </a:r>
              <a:r>
                <a:rPr lang="en-US" sz="1100" b="0" i="0">
                  <a:solidFill>
                    <a:srgbClr val="000000"/>
                  </a:solidFill>
                  <a:latin typeface="Cambria Math" panose="02040503050406030204" pitchFamily="18" charset="0"/>
                  <a:ea typeface="+mn-ea"/>
                  <a:cs typeface="+mn-cs"/>
                </a:rPr>
                <a:t>_</a:t>
              </a:r>
              <a:r>
                <a:rPr lang="en-US" sz="1100" i="0">
                  <a:solidFill>
                    <a:srgbClr val="000000"/>
                  </a:solidFill>
                  <a:latin typeface="Cambria Math" panose="02040503050406030204" pitchFamily="18" charset="0"/>
                  <a:ea typeface="+mn-ea"/>
                  <a:cs typeface="+mn-cs"/>
                </a:rPr>
                <a:t>𝑡𝑖𝑚𝑒+𝐼_𝑎𝑙𝑎𝑟𝑚∗𝑎𝑙𝑎𝑟𝑚_𝑡𝑖𝑚𝑒)∗sec⁡𝑢 𝑟𝑖𝑡𝑦_𝑓𝑎𝑐𝑡𝑜𝑟</a:t>
              </a:r>
              <a:endParaRPr lang="en-US" sz="1100" i="1">
                <a:solidFill>
                  <a:srgbClr val="000000"/>
                </a:solidFill>
                <a:latin typeface="Cambria Math" panose="02040503050406030204" pitchFamily="18" charset="0"/>
                <a:ea typeface="+mn-ea"/>
                <a:cs typeface="+mn-cs"/>
              </a:endParaRPr>
            </a:p>
          </xdr:txBody>
        </xdr:sp>
      </mc:Fallback>
    </mc:AlternateContent>
    <xdr:clientData/>
  </xdr:twoCellAnchor>
  <xdr:twoCellAnchor editAs="oneCell">
    <xdr:from>
      <xdr:col>0</xdr:col>
      <xdr:colOff>0</xdr:colOff>
      <xdr:row>259</xdr:row>
      <xdr:rowOff>21293</xdr:rowOff>
    </xdr:from>
    <xdr:to>
      <xdr:col>0</xdr:col>
      <xdr:colOff>8634917</xdr:colOff>
      <xdr:row>268</xdr:row>
      <xdr:rowOff>99491</xdr:rowOff>
    </xdr:to>
    <xdr:pic>
      <xdr:nvPicPr>
        <xdr:cNvPr id="12" name="Picture 11">
          <a:extLst>
            <a:ext uri="{FF2B5EF4-FFF2-40B4-BE49-F238E27FC236}">
              <a16:creationId xmlns:a16="http://schemas.microsoft.com/office/drawing/2014/main" id="{00000000-0008-0000-0200-00000C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6877923"/>
          <a:ext cx="9041952" cy="15094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274</xdr:row>
      <xdr:rowOff>85725</xdr:rowOff>
    </xdr:from>
    <xdr:to>
      <xdr:col>1</xdr:col>
      <xdr:colOff>15091</xdr:colOff>
      <xdr:row>283</xdr:row>
      <xdr:rowOff>119052</xdr:rowOff>
    </xdr:to>
    <xdr:pic>
      <xdr:nvPicPr>
        <xdr:cNvPr id="13" name="Picture 12">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60171965"/>
          <a:ext cx="9061301" cy="15179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57150</xdr:colOff>
      <xdr:row>29</xdr:row>
      <xdr:rowOff>56627</xdr:rowOff>
    </xdr:from>
    <xdr:to>
      <xdr:col>1</xdr:col>
      <xdr:colOff>4445</xdr:colOff>
      <xdr:row>37</xdr:row>
      <xdr:rowOff>67310</xdr:rowOff>
    </xdr:to>
    <xdr:pic>
      <xdr:nvPicPr>
        <xdr:cNvPr id="14" name="Picture 13">
          <a:extLst>
            <a:ext uri="{FF2B5EF4-FFF2-40B4-BE49-F238E27FC236}">
              <a16:creationId xmlns:a16="http://schemas.microsoft.com/office/drawing/2014/main" id="{00000000-0008-0000-0200-00000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0960" y="6110717"/>
          <a:ext cx="8968740" cy="1281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xdr:colOff>
      <xdr:row>78</xdr:row>
      <xdr:rowOff>9525</xdr:rowOff>
    </xdr:from>
    <xdr:to>
      <xdr:col>1</xdr:col>
      <xdr:colOff>0</xdr:colOff>
      <xdr:row>103</xdr:row>
      <xdr:rowOff>319173</xdr:rowOff>
    </xdr:to>
    <xdr:pic>
      <xdr:nvPicPr>
        <xdr:cNvPr id="15" name="Picture 14">
          <a:extLst>
            <a:ext uri="{FF2B5EF4-FFF2-40B4-BE49-F238E27FC236}">
              <a16:creationId xmlns:a16="http://schemas.microsoft.com/office/drawing/2014/main" id="{00000000-0008-0000-0200-00000F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8100" y="17179925"/>
          <a:ext cx="8991600" cy="42758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70</xdr:row>
      <xdr:rowOff>118</xdr:rowOff>
    </xdr:from>
    <xdr:to>
      <xdr:col>1</xdr:col>
      <xdr:colOff>59832</xdr:colOff>
      <xdr:row>72</xdr:row>
      <xdr:rowOff>2539</xdr:rowOff>
    </xdr:to>
    <xdr:pic>
      <xdr:nvPicPr>
        <xdr:cNvPr id="23" name="Picture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8"/>
        <a:stretch>
          <a:fillRect/>
        </a:stretch>
      </xdr:blipFill>
      <xdr:spPr>
        <a:xfrm>
          <a:off x="0" y="13632298"/>
          <a:ext cx="9111122" cy="1120021"/>
        </a:xfrm>
        <a:prstGeom prst="rect">
          <a:avLst/>
        </a:prstGeom>
      </xdr:spPr>
    </xdr:pic>
    <xdr:clientData/>
  </xdr:twoCellAnchor>
  <xdr:twoCellAnchor editAs="oneCell">
    <xdr:from>
      <xdr:col>0</xdr:col>
      <xdr:colOff>14942</xdr:colOff>
      <xdr:row>47</xdr:row>
      <xdr:rowOff>69314</xdr:rowOff>
    </xdr:from>
    <xdr:to>
      <xdr:col>1</xdr:col>
      <xdr:colOff>7072</xdr:colOff>
      <xdr:row>57</xdr:row>
      <xdr:rowOff>139700</xdr:rowOff>
    </xdr:to>
    <xdr:pic>
      <xdr:nvPicPr>
        <xdr:cNvPr id="24" name="Picture 23">
          <a:extLst>
            <a:ext uri="{FF2B5EF4-FFF2-40B4-BE49-F238E27FC236}">
              <a16:creationId xmlns:a16="http://schemas.microsoft.com/office/drawing/2014/main" id="{00000000-0008-0000-0200-000018000000}"/>
            </a:ext>
          </a:extLst>
        </xdr:cNvPr>
        <xdr:cNvPicPr>
          <a:picLocks noChangeAspect="1"/>
        </xdr:cNvPicPr>
      </xdr:nvPicPr>
      <xdr:blipFill>
        <a:blip xmlns:r="http://schemas.openxmlformats.org/officeDocument/2006/relationships" r:embed="rId9"/>
        <a:stretch>
          <a:fillRect/>
        </a:stretch>
      </xdr:blipFill>
      <xdr:spPr>
        <a:xfrm>
          <a:off x="14942" y="9797514"/>
          <a:ext cx="9040880" cy="1657886"/>
        </a:xfrm>
        <a:prstGeom prst="rect">
          <a:avLst/>
        </a:prstGeom>
      </xdr:spPr>
    </xdr:pic>
    <xdr:clientData/>
  </xdr:twoCellAnchor>
  <xdr:twoCellAnchor editAs="oneCell">
    <xdr:from>
      <xdr:col>0</xdr:col>
      <xdr:colOff>27215</xdr:colOff>
      <xdr:row>130</xdr:row>
      <xdr:rowOff>52781</xdr:rowOff>
    </xdr:from>
    <xdr:to>
      <xdr:col>0</xdr:col>
      <xdr:colOff>9035143</xdr:colOff>
      <xdr:row>132</xdr:row>
      <xdr:rowOff>69273</xdr:rowOff>
    </xdr:to>
    <xdr:pic>
      <xdr:nvPicPr>
        <xdr:cNvPr id="6" name="Picture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10"/>
        <a:stretch>
          <a:fillRect/>
        </a:stretch>
      </xdr:blipFill>
      <xdr:spPr>
        <a:xfrm>
          <a:off x="27215" y="26722781"/>
          <a:ext cx="9007928" cy="4438401"/>
        </a:xfrm>
        <a:prstGeom prst="rect">
          <a:avLst/>
        </a:prstGeom>
      </xdr:spPr>
    </xdr:pic>
    <xdr:clientData/>
  </xdr:twoCellAnchor>
  <xdr:twoCellAnchor editAs="oneCell">
    <xdr:from>
      <xdr:col>0</xdr:col>
      <xdr:colOff>11546</xdr:colOff>
      <xdr:row>170</xdr:row>
      <xdr:rowOff>46181</xdr:rowOff>
    </xdr:from>
    <xdr:to>
      <xdr:col>0</xdr:col>
      <xdr:colOff>9040091</xdr:colOff>
      <xdr:row>170</xdr:row>
      <xdr:rowOff>3475181</xdr:rowOff>
    </xdr:to>
    <xdr:pic>
      <xdr:nvPicPr>
        <xdr:cNvPr id="8" name="Picture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1"/>
        <a:stretch>
          <a:fillRect/>
        </a:stretch>
      </xdr:blipFill>
      <xdr:spPr>
        <a:xfrm>
          <a:off x="11546" y="34024454"/>
          <a:ext cx="9028545" cy="3429000"/>
        </a:xfrm>
        <a:prstGeom prst="rect">
          <a:avLst/>
        </a:prstGeom>
      </xdr:spPr>
    </xdr:pic>
    <xdr:clientData/>
  </xdr:twoCellAnchor>
  <xdr:twoCellAnchor editAs="oneCell">
    <xdr:from>
      <xdr:col>0</xdr:col>
      <xdr:colOff>0</xdr:colOff>
      <xdr:row>244</xdr:row>
      <xdr:rowOff>34636</xdr:rowOff>
    </xdr:from>
    <xdr:to>
      <xdr:col>1</xdr:col>
      <xdr:colOff>0</xdr:colOff>
      <xdr:row>244</xdr:row>
      <xdr:rowOff>1627910</xdr:rowOff>
    </xdr:to>
    <xdr:pic>
      <xdr:nvPicPr>
        <xdr:cNvPr id="25" name="Picture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12"/>
        <a:stretch>
          <a:fillRect/>
        </a:stretch>
      </xdr:blipFill>
      <xdr:spPr>
        <a:xfrm>
          <a:off x="0" y="52370181"/>
          <a:ext cx="9051636" cy="1593274"/>
        </a:xfrm>
        <a:prstGeom prst="rect">
          <a:avLst/>
        </a:prstGeom>
      </xdr:spPr>
    </xdr:pic>
    <xdr:clientData/>
  </xdr:twoCellAnchor>
  <xdr:twoCellAnchor editAs="oneCell">
    <xdr:from>
      <xdr:col>0</xdr:col>
      <xdr:colOff>0</xdr:colOff>
      <xdr:row>291</xdr:row>
      <xdr:rowOff>23092</xdr:rowOff>
    </xdr:from>
    <xdr:to>
      <xdr:col>1</xdr:col>
      <xdr:colOff>11546</xdr:colOff>
      <xdr:row>298</xdr:row>
      <xdr:rowOff>0</xdr:rowOff>
    </xdr:to>
    <xdr:pic>
      <xdr:nvPicPr>
        <xdr:cNvPr id="26" name="Picture 25">
          <a:extLst>
            <a:ext uri="{FF2B5EF4-FFF2-40B4-BE49-F238E27FC236}">
              <a16:creationId xmlns:a16="http://schemas.microsoft.com/office/drawing/2014/main" id="{00000000-0008-0000-0200-00001A000000}"/>
            </a:ext>
          </a:extLst>
        </xdr:cNvPr>
        <xdr:cNvPicPr>
          <a:picLocks noChangeAspect="1"/>
        </xdr:cNvPicPr>
      </xdr:nvPicPr>
      <xdr:blipFill>
        <a:blip xmlns:r="http://schemas.openxmlformats.org/officeDocument/2006/relationships" r:embed="rId13"/>
        <a:stretch>
          <a:fillRect/>
        </a:stretch>
      </xdr:blipFill>
      <xdr:spPr>
        <a:xfrm>
          <a:off x="0" y="61502637"/>
          <a:ext cx="9063182" cy="1339272"/>
        </a:xfrm>
        <a:prstGeom prst="rect">
          <a:avLst/>
        </a:prstGeom>
      </xdr:spPr>
    </xdr:pic>
    <xdr:clientData/>
  </xdr:twoCellAnchor>
  <xdr:twoCellAnchor editAs="oneCell">
    <xdr:from>
      <xdr:col>0</xdr:col>
      <xdr:colOff>1</xdr:colOff>
      <xdr:row>314</xdr:row>
      <xdr:rowOff>154216</xdr:rowOff>
    </xdr:from>
    <xdr:to>
      <xdr:col>1</xdr:col>
      <xdr:colOff>27214</xdr:colOff>
      <xdr:row>315</xdr:row>
      <xdr:rowOff>1524000</xdr:rowOff>
    </xdr:to>
    <xdr:pic>
      <xdr:nvPicPr>
        <xdr:cNvPr id="28" name="Picture 27">
          <a:extLst>
            <a:ext uri="{FF2B5EF4-FFF2-40B4-BE49-F238E27FC236}">
              <a16:creationId xmlns:a16="http://schemas.microsoft.com/office/drawing/2014/main" id="{00000000-0008-0000-0200-00001C000000}"/>
            </a:ext>
          </a:extLst>
        </xdr:cNvPr>
        <xdr:cNvPicPr>
          <a:picLocks noChangeAspect="1"/>
        </xdr:cNvPicPr>
      </xdr:nvPicPr>
      <xdr:blipFill>
        <a:blip xmlns:r="http://schemas.openxmlformats.org/officeDocument/2006/relationships" r:embed="rId14"/>
        <a:stretch>
          <a:fillRect/>
        </a:stretch>
      </xdr:blipFill>
      <xdr:spPr>
        <a:xfrm>
          <a:off x="1" y="64697430"/>
          <a:ext cx="9080499" cy="1533070"/>
        </a:xfrm>
        <a:prstGeom prst="rect">
          <a:avLst/>
        </a:prstGeom>
      </xdr:spPr>
    </xdr:pic>
    <xdr:clientData/>
  </xdr:twoCellAnchor>
  <xdr:twoCellAnchor editAs="oneCell">
    <xdr:from>
      <xdr:col>0</xdr:col>
      <xdr:colOff>1</xdr:colOff>
      <xdr:row>323</xdr:row>
      <xdr:rowOff>30117</xdr:rowOff>
    </xdr:from>
    <xdr:to>
      <xdr:col>0</xdr:col>
      <xdr:colOff>9044215</xdr:colOff>
      <xdr:row>329</xdr:row>
      <xdr:rowOff>27213</xdr:rowOff>
    </xdr:to>
    <xdr:pic>
      <xdr:nvPicPr>
        <xdr:cNvPr id="29" name="Picture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15"/>
        <a:stretch>
          <a:fillRect/>
        </a:stretch>
      </xdr:blipFill>
      <xdr:spPr>
        <a:xfrm>
          <a:off x="1" y="67884403"/>
          <a:ext cx="9044214" cy="1312453"/>
        </a:xfrm>
        <a:prstGeom prst="rect">
          <a:avLst/>
        </a:prstGeom>
      </xdr:spPr>
    </xdr:pic>
    <xdr:clientData/>
  </xdr:twoCellAnchor>
  <xdr:twoCellAnchor editAs="oneCell">
    <xdr:from>
      <xdr:col>0</xdr:col>
      <xdr:colOff>0</xdr:colOff>
      <xdr:row>330</xdr:row>
      <xdr:rowOff>27215</xdr:rowOff>
    </xdr:from>
    <xdr:to>
      <xdr:col>1</xdr:col>
      <xdr:colOff>18143</xdr:colOff>
      <xdr:row>330</xdr:row>
      <xdr:rowOff>2884714</xdr:rowOff>
    </xdr:to>
    <xdr:pic>
      <xdr:nvPicPr>
        <xdr:cNvPr id="30" name="Picture 29">
          <a:extLst>
            <a:ext uri="{FF2B5EF4-FFF2-40B4-BE49-F238E27FC236}">
              <a16:creationId xmlns:a16="http://schemas.microsoft.com/office/drawing/2014/main" id="{00000000-0008-0000-0200-00001E000000}"/>
            </a:ext>
          </a:extLst>
        </xdr:cNvPr>
        <xdr:cNvPicPr>
          <a:picLocks noChangeAspect="1"/>
        </xdr:cNvPicPr>
      </xdr:nvPicPr>
      <xdr:blipFill>
        <a:blip xmlns:r="http://schemas.openxmlformats.org/officeDocument/2006/relationships" r:embed="rId16"/>
        <a:stretch>
          <a:fillRect/>
        </a:stretch>
      </xdr:blipFill>
      <xdr:spPr>
        <a:xfrm>
          <a:off x="0" y="69360144"/>
          <a:ext cx="9071429" cy="285749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222250</xdr:colOff>
          <xdr:row>57</xdr:row>
          <xdr:rowOff>31750</xdr:rowOff>
        </xdr:from>
        <xdr:to>
          <xdr:col>4</xdr:col>
          <xdr:colOff>342900</xdr:colOff>
          <xdr:row>57</xdr:row>
          <xdr:rowOff>469900</xdr:rowOff>
        </xdr:to>
        <xdr:sp macro="" textlink="">
          <xdr:nvSpPr>
            <xdr:cNvPr id="2512897" name="Drop Down 1" hidden="1">
              <a:extLst>
                <a:ext uri="{63B3BB69-23CF-44E3-9099-C40C66FF867C}">
                  <a14:compatExt spid="_x0000_s2512897"/>
                </a:ext>
                <a:ext uri="{FF2B5EF4-FFF2-40B4-BE49-F238E27FC236}">
                  <a16:creationId xmlns:a16="http://schemas.microsoft.com/office/drawing/2014/main" id="{00000000-0008-0000-0300-000001582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222250</xdr:colOff>
          <xdr:row>58</xdr:row>
          <xdr:rowOff>38100</xdr:rowOff>
        </xdr:from>
        <xdr:to>
          <xdr:col>4</xdr:col>
          <xdr:colOff>342900</xdr:colOff>
          <xdr:row>58</xdr:row>
          <xdr:rowOff>469900</xdr:rowOff>
        </xdr:to>
        <xdr:sp macro="" textlink="">
          <xdr:nvSpPr>
            <xdr:cNvPr id="2512898" name="Drop Down 2" hidden="1">
              <a:extLst>
                <a:ext uri="{63B3BB69-23CF-44E3-9099-C40C66FF867C}">
                  <a14:compatExt spid="_x0000_s2512898"/>
                </a:ext>
                <a:ext uri="{FF2B5EF4-FFF2-40B4-BE49-F238E27FC236}">
                  <a16:creationId xmlns:a16="http://schemas.microsoft.com/office/drawing/2014/main" id="{00000000-0008-0000-0300-000002582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8</xdr:col>
          <xdr:colOff>50800</xdr:colOff>
          <xdr:row>60</xdr:row>
          <xdr:rowOff>0</xdr:rowOff>
        </xdr:to>
        <xdr:sp macro="" textlink="">
          <xdr:nvSpPr>
            <xdr:cNvPr id="2512899" name="Button 3" hidden="1">
              <a:extLst>
                <a:ext uri="{63B3BB69-23CF-44E3-9099-C40C66FF867C}">
                  <a14:compatExt spid="_x0000_s2512899"/>
                </a:ext>
                <a:ext uri="{FF2B5EF4-FFF2-40B4-BE49-F238E27FC236}">
                  <a16:creationId xmlns:a16="http://schemas.microsoft.com/office/drawing/2014/main" id="{00000000-0008-0000-0300-000003582600}"/>
                </a:ext>
              </a:extLst>
            </xdr:cNvPr>
            <xdr:cNvSpPr/>
          </xdr:nvSpPr>
          <xdr:spPr bwMode="auto">
            <a:xfrm>
              <a:off x="0" y="0"/>
              <a:ext cx="0" cy="0"/>
            </a:xfrm>
            <a:prstGeom prst="rect">
              <a:avLst/>
            </a:prstGeom>
            <a:noFill/>
            <a:ln w="9525">
              <a:miter lim="800000"/>
              <a:headEnd/>
              <a:tailEnd/>
            </a:ln>
          </xdr:spPr>
          <xdr:txBody>
            <a:bodyPr vertOverflow="clip" wrap="square" lIns="45720" tIns="36576" rIns="45720" bIns="36576" anchor="ctr" upright="1"/>
            <a:lstStyle/>
            <a:p>
              <a:pPr algn="ctr" rtl="0">
                <a:defRPr sz="1000"/>
              </a:pPr>
              <a:r>
                <a:rPr lang="en-US" sz="1200" b="1" i="0" u="none" strike="noStrike" baseline="0">
                  <a:solidFill>
                    <a:srgbClr val="000000"/>
                  </a:solidFill>
                  <a:latin typeface="Arial"/>
                  <a:cs typeface="Arial"/>
                </a:rPr>
                <a:t>Calculate</a:t>
              </a:r>
            </a:p>
            <a:p>
              <a:pPr algn="ctr" rtl="0">
                <a:defRPr sz="1000"/>
              </a:pPr>
              <a:r>
                <a:rPr lang="en-US" sz="1000" b="0" i="0" u="none" strike="noStrike" baseline="0">
                  <a:solidFill>
                    <a:srgbClr val="000000"/>
                  </a:solidFill>
                  <a:latin typeface="Arial"/>
                  <a:cs typeface="Arial"/>
                </a:rPr>
                <a:t>(updating values from additional sheets)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12700</xdr:colOff>
          <xdr:row>60</xdr:row>
          <xdr:rowOff>0</xdr:rowOff>
        </xdr:from>
        <xdr:to>
          <xdr:col>8</xdr:col>
          <xdr:colOff>69850</xdr:colOff>
          <xdr:row>60</xdr:row>
          <xdr:rowOff>0</xdr:rowOff>
        </xdr:to>
        <xdr:sp macro="" textlink="">
          <xdr:nvSpPr>
            <xdr:cNvPr id="2512900" name="Button 4" hidden="1">
              <a:extLst>
                <a:ext uri="{63B3BB69-23CF-44E3-9099-C40C66FF867C}">
                  <a14:compatExt spid="_x0000_s2512900"/>
                </a:ext>
                <a:ext uri="{FF2B5EF4-FFF2-40B4-BE49-F238E27FC236}">
                  <a16:creationId xmlns:a16="http://schemas.microsoft.com/office/drawing/2014/main" id="{00000000-0008-0000-0300-0000045826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1" i="0" u="none" strike="noStrike" baseline="0">
                  <a:solidFill>
                    <a:srgbClr val="000000"/>
                  </a:solidFill>
                  <a:latin typeface="Arial"/>
                  <a:cs typeface="Arial"/>
                </a:rPr>
                <a:t>Add card cage 5</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1885950</xdr:colOff>
          <xdr:row>72</xdr:row>
          <xdr:rowOff>50800</xdr:rowOff>
        </xdr:from>
        <xdr:to>
          <xdr:col>1</xdr:col>
          <xdr:colOff>4324350</xdr:colOff>
          <xdr:row>72</xdr:row>
          <xdr:rowOff>336550</xdr:rowOff>
        </xdr:to>
        <xdr:sp macro="" textlink="">
          <xdr:nvSpPr>
            <xdr:cNvPr id="2744321" name="ChangeLoopExtensionState" hidden="1">
              <a:extLst>
                <a:ext uri="{63B3BB69-23CF-44E3-9099-C40C66FF867C}">
                  <a14:compatExt spid="_x0000_s2744321"/>
                </a:ext>
                <a:ext uri="{FF2B5EF4-FFF2-40B4-BE49-F238E27FC236}">
                  <a16:creationId xmlns:a16="http://schemas.microsoft.com/office/drawing/2014/main" id="{A3768739-3726-4983-8889-C0AB9F0A5B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19050</xdr:colOff>
          <xdr:row>80</xdr:row>
          <xdr:rowOff>50800</xdr:rowOff>
        </xdr:from>
        <xdr:to>
          <xdr:col>7</xdr:col>
          <xdr:colOff>419100</xdr:colOff>
          <xdr:row>80</xdr:row>
          <xdr:rowOff>336550</xdr:rowOff>
        </xdr:to>
        <xdr:sp macro="" textlink="">
          <xdr:nvSpPr>
            <xdr:cNvPr id="2744322" name="Loop2" hidden="1">
              <a:extLst>
                <a:ext uri="{63B3BB69-23CF-44E3-9099-C40C66FF867C}">
                  <a14:compatExt spid="_x0000_s2744322"/>
                </a:ext>
                <a:ext uri="{FF2B5EF4-FFF2-40B4-BE49-F238E27FC236}">
                  <a16:creationId xmlns:a16="http://schemas.microsoft.com/office/drawing/2014/main" id="{622B9630-0385-43E1-A0AF-9F0034594A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38100</xdr:colOff>
          <xdr:row>80</xdr:row>
          <xdr:rowOff>57150</xdr:rowOff>
        </xdr:from>
        <xdr:to>
          <xdr:col>11</xdr:col>
          <xdr:colOff>438150</xdr:colOff>
          <xdr:row>80</xdr:row>
          <xdr:rowOff>342900</xdr:rowOff>
        </xdr:to>
        <xdr:sp macro="" textlink="">
          <xdr:nvSpPr>
            <xdr:cNvPr id="2744323" name="Loop3" hidden="1">
              <a:extLst>
                <a:ext uri="{63B3BB69-23CF-44E3-9099-C40C66FF867C}">
                  <a14:compatExt spid="_x0000_s2744323"/>
                </a:ext>
                <a:ext uri="{FF2B5EF4-FFF2-40B4-BE49-F238E27FC236}">
                  <a16:creationId xmlns:a16="http://schemas.microsoft.com/office/drawing/2014/main" id="{A9D944E6-DFD6-4D69-AFC7-54A9CC75527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31750</xdr:colOff>
          <xdr:row>80</xdr:row>
          <xdr:rowOff>57150</xdr:rowOff>
        </xdr:from>
        <xdr:to>
          <xdr:col>15</xdr:col>
          <xdr:colOff>431800</xdr:colOff>
          <xdr:row>80</xdr:row>
          <xdr:rowOff>342900</xdr:rowOff>
        </xdr:to>
        <xdr:sp macro="" textlink="">
          <xdr:nvSpPr>
            <xdr:cNvPr id="2744324" name="Loop4" hidden="1">
              <a:extLst>
                <a:ext uri="{63B3BB69-23CF-44E3-9099-C40C66FF867C}">
                  <a14:compatExt spid="_x0000_s2744324"/>
                </a:ext>
                <a:ext uri="{FF2B5EF4-FFF2-40B4-BE49-F238E27FC236}">
                  <a16:creationId xmlns:a16="http://schemas.microsoft.com/office/drawing/2014/main" id="{6F41CFF1-3096-4964-A5DA-D5D21015F17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1885950</xdr:colOff>
          <xdr:row>67</xdr:row>
          <xdr:rowOff>50800</xdr:rowOff>
        </xdr:from>
        <xdr:to>
          <xdr:col>1</xdr:col>
          <xdr:colOff>4324350</xdr:colOff>
          <xdr:row>67</xdr:row>
          <xdr:rowOff>336550</xdr:rowOff>
        </xdr:to>
        <xdr:sp macro="" textlink="">
          <xdr:nvSpPr>
            <xdr:cNvPr id="2744325" name="CurrentSelection" hidden="1">
              <a:extLst>
                <a:ext uri="{63B3BB69-23CF-44E3-9099-C40C66FF867C}">
                  <a14:compatExt spid="_x0000_s2744325"/>
                </a:ext>
                <a:ext uri="{FF2B5EF4-FFF2-40B4-BE49-F238E27FC236}">
                  <a16:creationId xmlns:a16="http://schemas.microsoft.com/office/drawing/2014/main" id="{D8734254-0209-4A74-90F8-D53F430B35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31750</xdr:colOff>
          <xdr:row>435</xdr:row>
          <xdr:rowOff>50800</xdr:rowOff>
        </xdr:from>
        <xdr:to>
          <xdr:col>7</xdr:col>
          <xdr:colOff>431800</xdr:colOff>
          <xdr:row>435</xdr:row>
          <xdr:rowOff>336550</xdr:rowOff>
        </xdr:to>
        <xdr:sp macro="" textlink="">
          <xdr:nvSpPr>
            <xdr:cNvPr id="2744326" name="Loop2_Calculation" hidden="1">
              <a:extLst>
                <a:ext uri="{63B3BB69-23CF-44E3-9099-C40C66FF867C}">
                  <a14:compatExt spid="_x0000_s2744326"/>
                </a:ext>
                <a:ext uri="{FF2B5EF4-FFF2-40B4-BE49-F238E27FC236}">
                  <a16:creationId xmlns:a16="http://schemas.microsoft.com/office/drawing/2014/main" id="{F6E12FFC-D79B-41D1-9A58-62993D5E94D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38100</xdr:colOff>
          <xdr:row>435</xdr:row>
          <xdr:rowOff>50800</xdr:rowOff>
        </xdr:from>
        <xdr:to>
          <xdr:col>11</xdr:col>
          <xdr:colOff>438150</xdr:colOff>
          <xdr:row>435</xdr:row>
          <xdr:rowOff>336550</xdr:rowOff>
        </xdr:to>
        <xdr:sp macro="" textlink="">
          <xdr:nvSpPr>
            <xdr:cNvPr id="2744327" name="Loop3_Calculation" hidden="1">
              <a:extLst>
                <a:ext uri="{63B3BB69-23CF-44E3-9099-C40C66FF867C}">
                  <a14:compatExt spid="_x0000_s2744327"/>
                </a:ext>
                <a:ext uri="{FF2B5EF4-FFF2-40B4-BE49-F238E27FC236}">
                  <a16:creationId xmlns:a16="http://schemas.microsoft.com/office/drawing/2014/main" id="{B02E02F7-1130-4A06-AE16-1154167B8E2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31750</xdr:colOff>
          <xdr:row>435</xdr:row>
          <xdr:rowOff>50800</xdr:rowOff>
        </xdr:from>
        <xdr:to>
          <xdr:col>15</xdr:col>
          <xdr:colOff>431800</xdr:colOff>
          <xdr:row>435</xdr:row>
          <xdr:rowOff>336550</xdr:rowOff>
        </xdr:to>
        <xdr:sp macro="" textlink="">
          <xdr:nvSpPr>
            <xdr:cNvPr id="2744328" name="Loop4_Calculation" hidden="1">
              <a:extLst>
                <a:ext uri="{63B3BB69-23CF-44E3-9099-C40C66FF867C}">
                  <a14:compatExt spid="_x0000_s2744328"/>
                </a:ext>
                <a:ext uri="{FF2B5EF4-FFF2-40B4-BE49-F238E27FC236}">
                  <a16:creationId xmlns:a16="http://schemas.microsoft.com/office/drawing/2014/main" id="{9B392A2D-6838-44F9-BF19-55E9884004C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332</xdr:row>
          <xdr:rowOff>19050</xdr:rowOff>
        </xdr:from>
        <xdr:to>
          <xdr:col>3</xdr:col>
          <xdr:colOff>450850</xdr:colOff>
          <xdr:row>333</xdr:row>
          <xdr:rowOff>0</xdr:rowOff>
        </xdr:to>
        <xdr:sp macro="" textlink="">
          <xdr:nvSpPr>
            <xdr:cNvPr id="2744329" name="CheckBox_1_1_Ex1" hidden="1">
              <a:extLst>
                <a:ext uri="{63B3BB69-23CF-44E3-9099-C40C66FF867C}">
                  <a14:compatExt spid="_x0000_s2744329"/>
                </a:ext>
                <a:ext uri="{FF2B5EF4-FFF2-40B4-BE49-F238E27FC236}">
                  <a16:creationId xmlns:a16="http://schemas.microsoft.com/office/drawing/2014/main" id="{B760EA53-802B-402B-A627-7327A38E11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19050</xdr:colOff>
          <xdr:row>332</xdr:row>
          <xdr:rowOff>19050</xdr:rowOff>
        </xdr:from>
        <xdr:to>
          <xdr:col>17</xdr:col>
          <xdr:colOff>450850</xdr:colOff>
          <xdr:row>333</xdr:row>
          <xdr:rowOff>0</xdr:rowOff>
        </xdr:to>
        <xdr:sp macro="" textlink="">
          <xdr:nvSpPr>
            <xdr:cNvPr id="2744330" name="CheckBox_4_2_Ex" hidden="1">
              <a:extLst>
                <a:ext uri="{63B3BB69-23CF-44E3-9099-C40C66FF867C}">
                  <a14:compatExt spid="_x0000_s2744330"/>
                </a:ext>
                <a:ext uri="{FF2B5EF4-FFF2-40B4-BE49-F238E27FC236}">
                  <a16:creationId xmlns:a16="http://schemas.microsoft.com/office/drawing/2014/main" id="{FA77277D-22D6-473F-8BB8-1623AADF510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332</xdr:row>
          <xdr:rowOff>19050</xdr:rowOff>
        </xdr:from>
        <xdr:to>
          <xdr:col>5</xdr:col>
          <xdr:colOff>450850</xdr:colOff>
          <xdr:row>333</xdr:row>
          <xdr:rowOff>0</xdr:rowOff>
        </xdr:to>
        <xdr:sp macro="" textlink="">
          <xdr:nvSpPr>
            <xdr:cNvPr id="2744331" name="CheckBox_1_2_Ex" hidden="1">
              <a:extLst>
                <a:ext uri="{63B3BB69-23CF-44E3-9099-C40C66FF867C}">
                  <a14:compatExt spid="_x0000_s2744331"/>
                </a:ext>
                <a:ext uri="{FF2B5EF4-FFF2-40B4-BE49-F238E27FC236}">
                  <a16:creationId xmlns:a16="http://schemas.microsoft.com/office/drawing/2014/main" id="{0D8E813E-7286-4C7F-A33D-F02D3B9FA1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19050</xdr:colOff>
          <xdr:row>332</xdr:row>
          <xdr:rowOff>19050</xdr:rowOff>
        </xdr:from>
        <xdr:to>
          <xdr:col>7</xdr:col>
          <xdr:colOff>450850</xdr:colOff>
          <xdr:row>333</xdr:row>
          <xdr:rowOff>0</xdr:rowOff>
        </xdr:to>
        <xdr:sp macro="" textlink="">
          <xdr:nvSpPr>
            <xdr:cNvPr id="2744332" name="CheckBox_2_1_Ex1" hidden="1">
              <a:extLst>
                <a:ext uri="{63B3BB69-23CF-44E3-9099-C40C66FF867C}">
                  <a14:compatExt spid="_x0000_s2744332"/>
                </a:ext>
                <a:ext uri="{FF2B5EF4-FFF2-40B4-BE49-F238E27FC236}">
                  <a16:creationId xmlns:a16="http://schemas.microsoft.com/office/drawing/2014/main" id="{5DADE32C-4966-4314-B6FD-D57B815DE6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19050</xdr:colOff>
          <xdr:row>332</xdr:row>
          <xdr:rowOff>19050</xdr:rowOff>
        </xdr:from>
        <xdr:to>
          <xdr:col>9</xdr:col>
          <xdr:colOff>450850</xdr:colOff>
          <xdr:row>333</xdr:row>
          <xdr:rowOff>0</xdr:rowOff>
        </xdr:to>
        <xdr:sp macro="" textlink="">
          <xdr:nvSpPr>
            <xdr:cNvPr id="2744333" name="CheckBox_2_2_Ex" hidden="1">
              <a:extLst>
                <a:ext uri="{63B3BB69-23CF-44E3-9099-C40C66FF867C}">
                  <a14:compatExt spid="_x0000_s2744333"/>
                </a:ext>
                <a:ext uri="{FF2B5EF4-FFF2-40B4-BE49-F238E27FC236}">
                  <a16:creationId xmlns:a16="http://schemas.microsoft.com/office/drawing/2014/main" id="{F78516A9-2048-4FAC-8AC7-FA057D8AFBD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19050</xdr:colOff>
          <xdr:row>332</xdr:row>
          <xdr:rowOff>19050</xdr:rowOff>
        </xdr:from>
        <xdr:to>
          <xdr:col>11</xdr:col>
          <xdr:colOff>450850</xdr:colOff>
          <xdr:row>333</xdr:row>
          <xdr:rowOff>0</xdr:rowOff>
        </xdr:to>
        <xdr:sp macro="" textlink="">
          <xdr:nvSpPr>
            <xdr:cNvPr id="2744334" name="CheckBox_3_1_Ex1" hidden="1">
              <a:extLst>
                <a:ext uri="{63B3BB69-23CF-44E3-9099-C40C66FF867C}">
                  <a14:compatExt spid="_x0000_s2744334"/>
                </a:ext>
                <a:ext uri="{FF2B5EF4-FFF2-40B4-BE49-F238E27FC236}">
                  <a16:creationId xmlns:a16="http://schemas.microsoft.com/office/drawing/2014/main" id="{613B33DD-889D-4B50-8546-467AC4979BD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19050</xdr:colOff>
          <xdr:row>332</xdr:row>
          <xdr:rowOff>19050</xdr:rowOff>
        </xdr:from>
        <xdr:to>
          <xdr:col>13</xdr:col>
          <xdr:colOff>438150</xdr:colOff>
          <xdr:row>333</xdr:row>
          <xdr:rowOff>0</xdr:rowOff>
        </xdr:to>
        <xdr:sp macro="" textlink="">
          <xdr:nvSpPr>
            <xdr:cNvPr id="2744335" name="CheckBox_3_2_Ex" hidden="1">
              <a:extLst>
                <a:ext uri="{63B3BB69-23CF-44E3-9099-C40C66FF867C}">
                  <a14:compatExt spid="_x0000_s2744335"/>
                </a:ext>
                <a:ext uri="{FF2B5EF4-FFF2-40B4-BE49-F238E27FC236}">
                  <a16:creationId xmlns:a16="http://schemas.microsoft.com/office/drawing/2014/main" id="{798DF2E8-5A9C-4A8D-B189-A9EB5470808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19050</xdr:colOff>
          <xdr:row>332</xdr:row>
          <xdr:rowOff>19050</xdr:rowOff>
        </xdr:from>
        <xdr:to>
          <xdr:col>15</xdr:col>
          <xdr:colOff>450850</xdr:colOff>
          <xdr:row>333</xdr:row>
          <xdr:rowOff>0</xdr:rowOff>
        </xdr:to>
        <xdr:sp macro="" textlink="">
          <xdr:nvSpPr>
            <xdr:cNvPr id="2744336" name="CheckBox_4_1_Ex1" hidden="1">
              <a:extLst>
                <a:ext uri="{63B3BB69-23CF-44E3-9099-C40C66FF867C}">
                  <a14:compatExt spid="_x0000_s2744336"/>
                </a:ext>
                <a:ext uri="{FF2B5EF4-FFF2-40B4-BE49-F238E27FC236}">
                  <a16:creationId xmlns:a16="http://schemas.microsoft.com/office/drawing/2014/main" id="{CEA1DA71-DB37-417A-99E6-CD461E859D7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351</xdr:row>
          <xdr:rowOff>19050</xdr:rowOff>
        </xdr:from>
        <xdr:to>
          <xdr:col>3</xdr:col>
          <xdr:colOff>450850</xdr:colOff>
          <xdr:row>352</xdr:row>
          <xdr:rowOff>0</xdr:rowOff>
        </xdr:to>
        <xdr:sp macro="" textlink="">
          <xdr:nvSpPr>
            <xdr:cNvPr id="2744337" name="CheckBox_1_1_Ex2" hidden="1">
              <a:extLst>
                <a:ext uri="{63B3BB69-23CF-44E3-9099-C40C66FF867C}">
                  <a14:compatExt spid="_x0000_s2744337"/>
                </a:ext>
                <a:ext uri="{FF2B5EF4-FFF2-40B4-BE49-F238E27FC236}">
                  <a16:creationId xmlns:a16="http://schemas.microsoft.com/office/drawing/2014/main" id="{1D24AEDE-8BA6-43A2-BC33-5A8673670FA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19050</xdr:colOff>
          <xdr:row>351</xdr:row>
          <xdr:rowOff>19050</xdr:rowOff>
        </xdr:from>
        <xdr:to>
          <xdr:col>7</xdr:col>
          <xdr:colOff>450850</xdr:colOff>
          <xdr:row>352</xdr:row>
          <xdr:rowOff>0</xdr:rowOff>
        </xdr:to>
        <xdr:sp macro="" textlink="">
          <xdr:nvSpPr>
            <xdr:cNvPr id="2744338" name="CheckBox_2_1_Ex2" hidden="1">
              <a:extLst>
                <a:ext uri="{63B3BB69-23CF-44E3-9099-C40C66FF867C}">
                  <a14:compatExt spid="_x0000_s2744338"/>
                </a:ext>
                <a:ext uri="{FF2B5EF4-FFF2-40B4-BE49-F238E27FC236}">
                  <a16:creationId xmlns:a16="http://schemas.microsoft.com/office/drawing/2014/main" id="{0B5E2873-BA8E-4639-B189-F3CB375187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19050</xdr:colOff>
          <xdr:row>351</xdr:row>
          <xdr:rowOff>19050</xdr:rowOff>
        </xdr:from>
        <xdr:to>
          <xdr:col>11</xdr:col>
          <xdr:colOff>450850</xdr:colOff>
          <xdr:row>352</xdr:row>
          <xdr:rowOff>0</xdr:rowOff>
        </xdr:to>
        <xdr:sp macro="" textlink="">
          <xdr:nvSpPr>
            <xdr:cNvPr id="2744339" name="CheckBox_3_1_Ex2" hidden="1">
              <a:extLst>
                <a:ext uri="{63B3BB69-23CF-44E3-9099-C40C66FF867C}">
                  <a14:compatExt spid="_x0000_s2744339"/>
                </a:ext>
                <a:ext uri="{FF2B5EF4-FFF2-40B4-BE49-F238E27FC236}">
                  <a16:creationId xmlns:a16="http://schemas.microsoft.com/office/drawing/2014/main" id="{BA22A35A-2F00-4715-B13A-F2F47C3C04F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19050</xdr:colOff>
          <xdr:row>351</xdr:row>
          <xdr:rowOff>19050</xdr:rowOff>
        </xdr:from>
        <xdr:to>
          <xdr:col>15</xdr:col>
          <xdr:colOff>450850</xdr:colOff>
          <xdr:row>352</xdr:row>
          <xdr:rowOff>0</xdr:rowOff>
        </xdr:to>
        <xdr:sp macro="" textlink="">
          <xdr:nvSpPr>
            <xdr:cNvPr id="2744340" name="CheckBox_4_1_Ex2" hidden="1">
              <a:extLst>
                <a:ext uri="{63B3BB69-23CF-44E3-9099-C40C66FF867C}">
                  <a14:compatExt spid="_x0000_s2744340"/>
                </a:ext>
                <a:ext uri="{FF2B5EF4-FFF2-40B4-BE49-F238E27FC236}">
                  <a16:creationId xmlns:a16="http://schemas.microsoft.com/office/drawing/2014/main" id="{8BC02357-DEFD-4281-926E-805EC104C4B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1631950</xdr:colOff>
          <xdr:row>60</xdr:row>
          <xdr:rowOff>133350</xdr:rowOff>
        </xdr:from>
        <xdr:to>
          <xdr:col>1</xdr:col>
          <xdr:colOff>4076700</xdr:colOff>
          <xdr:row>60</xdr:row>
          <xdr:rowOff>419100</xdr:rowOff>
        </xdr:to>
        <xdr:sp macro="" textlink="">
          <xdr:nvSpPr>
            <xdr:cNvPr id="2744341" name="AlarmIndicator" hidden="1">
              <a:extLst>
                <a:ext uri="{63B3BB69-23CF-44E3-9099-C40C66FF867C}">
                  <a14:compatExt spid="_x0000_s2744341"/>
                </a:ext>
                <a:ext uri="{FF2B5EF4-FFF2-40B4-BE49-F238E27FC236}">
                  <a16:creationId xmlns:a16="http://schemas.microsoft.com/office/drawing/2014/main" id="{7828359D-5E10-4A5D-BF1F-AAD05714B0A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50800</xdr:colOff>
          <xdr:row>435</xdr:row>
          <xdr:rowOff>50800</xdr:rowOff>
        </xdr:from>
        <xdr:to>
          <xdr:col>3</xdr:col>
          <xdr:colOff>438150</xdr:colOff>
          <xdr:row>435</xdr:row>
          <xdr:rowOff>336550</xdr:rowOff>
        </xdr:to>
        <xdr:sp macro="" textlink="">
          <xdr:nvSpPr>
            <xdr:cNvPr id="2744342" name="Loop1_Calculation" hidden="1">
              <a:extLst>
                <a:ext uri="{63B3BB69-23CF-44E3-9099-C40C66FF867C}">
                  <a14:compatExt spid="_x0000_s2744342"/>
                </a:ext>
                <a:ext uri="{FF2B5EF4-FFF2-40B4-BE49-F238E27FC236}">
                  <a16:creationId xmlns:a16="http://schemas.microsoft.com/office/drawing/2014/main" id="{7DA0F23C-1F27-49FA-B911-BDA1540E9E8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80</xdr:row>
          <xdr:rowOff>50800</xdr:rowOff>
        </xdr:from>
        <xdr:to>
          <xdr:col>3</xdr:col>
          <xdr:colOff>450850</xdr:colOff>
          <xdr:row>80</xdr:row>
          <xdr:rowOff>336550</xdr:rowOff>
        </xdr:to>
        <xdr:sp macro="" textlink="">
          <xdr:nvSpPr>
            <xdr:cNvPr id="2744343" name="Loop1" hidden="1">
              <a:extLst>
                <a:ext uri="{63B3BB69-23CF-44E3-9099-C40C66FF867C}">
                  <a14:compatExt spid="_x0000_s2744343"/>
                </a:ext>
                <a:ext uri="{FF2B5EF4-FFF2-40B4-BE49-F238E27FC236}">
                  <a16:creationId xmlns:a16="http://schemas.microsoft.com/office/drawing/2014/main" id="{3E2FABE8-5DF1-4244-81FD-ED40E01BE9C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666750</xdr:colOff>
          <xdr:row>583</xdr:row>
          <xdr:rowOff>19050</xdr:rowOff>
        </xdr:from>
        <xdr:to>
          <xdr:col>1</xdr:col>
          <xdr:colOff>3714750</xdr:colOff>
          <xdr:row>587</xdr:row>
          <xdr:rowOff>114300</xdr:rowOff>
        </xdr:to>
        <xdr:sp macro="" textlink="">
          <xdr:nvSpPr>
            <xdr:cNvPr id="2744344" name="Calculate_FDnet_2" hidden="1">
              <a:extLst>
                <a:ext uri="{63B3BB69-23CF-44E3-9099-C40C66FF867C}">
                  <a14:compatExt spid="_x0000_s2744344"/>
                </a:ext>
                <a:ext uri="{FF2B5EF4-FFF2-40B4-BE49-F238E27FC236}">
                  <a16:creationId xmlns:a16="http://schemas.microsoft.com/office/drawing/2014/main" id="{BD6803DA-5115-44E3-BAF0-92AB61F50EA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1885950</xdr:colOff>
          <xdr:row>405</xdr:row>
          <xdr:rowOff>19050</xdr:rowOff>
        </xdr:from>
        <xdr:to>
          <xdr:col>1</xdr:col>
          <xdr:colOff>4324350</xdr:colOff>
          <xdr:row>406</xdr:row>
          <xdr:rowOff>146050</xdr:rowOff>
        </xdr:to>
        <xdr:sp macro="" textlink="">
          <xdr:nvSpPr>
            <xdr:cNvPr id="2744345" name="ChooseCableTyp" hidden="1">
              <a:extLst>
                <a:ext uri="{63B3BB69-23CF-44E3-9099-C40C66FF867C}">
                  <a14:compatExt spid="_x0000_s2744345"/>
                </a:ext>
                <a:ext uri="{FF2B5EF4-FFF2-40B4-BE49-F238E27FC236}">
                  <a16:creationId xmlns:a16="http://schemas.microsoft.com/office/drawing/2014/main" id="{787D8394-0F46-41B0-8FC8-5CDD6058B9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704850</xdr:colOff>
          <xdr:row>39</xdr:row>
          <xdr:rowOff>38100</xdr:rowOff>
        </xdr:from>
        <xdr:to>
          <xdr:col>1</xdr:col>
          <xdr:colOff>3752850</xdr:colOff>
          <xdr:row>44</xdr:row>
          <xdr:rowOff>0</xdr:rowOff>
        </xdr:to>
        <xdr:sp macro="" textlink="">
          <xdr:nvSpPr>
            <xdr:cNvPr id="2744346" name="Calculate_FDnet_1" hidden="1">
              <a:extLst>
                <a:ext uri="{63B3BB69-23CF-44E3-9099-C40C66FF867C}">
                  <a14:compatExt spid="_x0000_s2744346"/>
                </a:ext>
                <a:ext uri="{FF2B5EF4-FFF2-40B4-BE49-F238E27FC236}">
                  <a16:creationId xmlns:a16="http://schemas.microsoft.com/office/drawing/2014/main" id="{8B3C4069-E288-49D6-B7C7-3C923A09C8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1885950</xdr:colOff>
          <xdr:row>72</xdr:row>
          <xdr:rowOff>50800</xdr:rowOff>
        </xdr:from>
        <xdr:to>
          <xdr:col>1</xdr:col>
          <xdr:colOff>4324350</xdr:colOff>
          <xdr:row>72</xdr:row>
          <xdr:rowOff>336550</xdr:rowOff>
        </xdr:to>
        <xdr:sp macro="" textlink="">
          <xdr:nvSpPr>
            <xdr:cNvPr id="2415617" name="ChangeLoopExtensionState" hidden="1">
              <a:extLst>
                <a:ext uri="{63B3BB69-23CF-44E3-9099-C40C66FF867C}">
                  <a14:compatExt spid="_x0000_s2415617"/>
                </a:ext>
                <a:ext uri="{FF2B5EF4-FFF2-40B4-BE49-F238E27FC236}">
                  <a16:creationId xmlns:a16="http://schemas.microsoft.com/office/drawing/2014/main" id="{00000000-0008-0000-0600-000001DC2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19050</xdr:colOff>
          <xdr:row>80</xdr:row>
          <xdr:rowOff>50800</xdr:rowOff>
        </xdr:from>
        <xdr:to>
          <xdr:col>7</xdr:col>
          <xdr:colOff>419100</xdr:colOff>
          <xdr:row>80</xdr:row>
          <xdr:rowOff>336550</xdr:rowOff>
        </xdr:to>
        <xdr:sp macro="" textlink="">
          <xdr:nvSpPr>
            <xdr:cNvPr id="2415618" name="Loop2" hidden="1">
              <a:extLst>
                <a:ext uri="{63B3BB69-23CF-44E3-9099-C40C66FF867C}">
                  <a14:compatExt spid="_x0000_s2415618"/>
                </a:ext>
                <a:ext uri="{FF2B5EF4-FFF2-40B4-BE49-F238E27FC236}">
                  <a16:creationId xmlns:a16="http://schemas.microsoft.com/office/drawing/2014/main" id="{00000000-0008-0000-0600-000002DC2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38100</xdr:colOff>
          <xdr:row>80</xdr:row>
          <xdr:rowOff>57150</xdr:rowOff>
        </xdr:from>
        <xdr:to>
          <xdr:col>11</xdr:col>
          <xdr:colOff>438150</xdr:colOff>
          <xdr:row>80</xdr:row>
          <xdr:rowOff>342900</xdr:rowOff>
        </xdr:to>
        <xdr:sp macro="" textlink="">
          <xdr:nvSpPr>
            <xdr:cNvPr id="2415619" name="Loop3" hidden="1">
              <a:extLst>
                <a:ext uri="{63B3BB69-23CF-44E3-9099-C40C66FF867C}">
                  <a14:compatExt spid="_x0000_s2415619"/>
                </a:ext>
                <a:ext uri="{FF2B5EF4-FFF2-40B4-BE49-F238E27FC236}">
                  <a16:creationId xmlns:a16="http://schemas.microsoft.com/office/drawing/2014/main" id="{00000000-0008-0000-0600-000003DC2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31750</xdr:colOff>
          <xdr:row>80</xdr:row>
          <xdr:rowOff>57150</xdr:rowOff>
        </xdr:from>
        <xdr:to>
          <xdr:col>15</xdr:col>
          <xdr:colOff>431800</xdr:colOff>
          <xdr:row>80</xdr:row>
          <xdr:rowOff>342900</xdr:rowOff>
        </xdr:to>
        <xdr:sp macro="" textlink="">
          <xdr:nvSpPr>
            <xdr:cNvPr id="2415620" name="Loop4" hidden="1">
              <a:extLst>
                <a:ext uri="{63B3BB69-23CF-44E3-9099-C40C66FF867C}">
                  <a14:compatExt spid="_x0000_s2415620"/>
                </a:ext>
                <a:ext uri="{FF2B5EF4-FFF2-40B4-BE49-F238E27FC236}">
                  <a16:creationId xmlns:a16="http://schemas.microsoft.com/office/drawing/2014/main" id="{00000000-0008-0000-0600-000004DC2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1885950</xdr:colOff>
          <xdr:row>67</xdr:row>
          <xdr:rowOff>50800</xdr:rowOff>
        </xdr:from>
        <xdr:to>
          <xdr:col>1</xdr:col>
          <xdr:colOff>4324350</xdr:colOff>
          <xdr:row>67</xdr:row>
          <xdr:rowOff>336550</xdr:rowOff>
        </xdr:to>
        <xdr:sp macro="" textlink="">
          <xdr:nvSpPr>
            <xdr:cNvPr id="2415621" name="CurrentSelection" hidden="1">
              <a:extLst>
                <a:ext uri="{63B3BB69-23CF-44E3-9099-C40C66FF867C}">
                  <a14:compatExt spid="_x0000_s2415621"/>
                </a:ext>
                <a:ext uri="{FF2B5EF4-FFF2-40B4-BE49-F238E27FC236}">
                  <a16:creationId xmlns:a16="http://schemas.microsoft.com/office/drawing/2014/main" id="{00000000-0008-0000-0600-000005DC2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31750</xdr:colOff>
          <xdr:row>435</xdr:row>
          <xdr:rowOff>50800</xdr:rowOff>
        </xdr:from>
        <xdr:to>
          <xdr:col>7</xdr:col>
          <xdr:colOff>431800</xdr:colOff>
          <xdr:row>435</xdr:row>
          <xdr:rowOff>336550</xdr:rowOff>
        </xdr:to>
        <xdr:sp macro="" textlink="">
          <xdr:nvSpPr>
            <xdr:cNvPr id="2415622" name="Loop2_Calculation" hidden="1">
              <a:extLst>
                <a:ext uri="{63B3BB69-23CF-44E3-9099-C40C66FF867C}">
                  <a14:compatExt spid="_x0000_s2415622"/>
                </a:ext>
                <a:ext uri="{FF2B5EF4-FFF2-40B4-BE49-F238E27FC236}">
                  <a16:creationId xmlns:a16="http://schemas.microsoft.com/office/drawing/2014/main" id="{00000000-0008-0000-0600-000006DC2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38100</xdr:colOff>
          <xdr:row>435</xdr:row>
          <xdr:rowOff>50800</xdr:rowOff>
        </xdr:from>
        <xdr:to>
          <xdr:col>11</xdr:col>
          <xdr:colOff>438150</xdr:colOff>
          <xdr:row>435</xdr:row>
          <xdr:rowOff>336550</xdr:rowOff>
        </xdr:to>
        <xdr:sp macro="" textlink="">
          <xdr:nvSpPr>
            <xdr:cNvPr id="2415623" name="Loop3_Calculation" hidden="1">
              <a:extLst>
                <a:ext uri="{63B3BB69-23CF-44E3-9099-C40C66FF867C}">
                  <a14:compatExt spid="_x0000_s2415623"/>
                </a:ext>
                <a:ext uri="{FF2B5EF4-FFF2-40B4-BE49-F238E27FC236}">
                  <a16:creationId xmlns:a16="http://schemas.microsoft.com/office/drawing/2014/main" id="{00000000-0008-0000-0600-000007DC2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31750</xdr:colOff>
          <xdr:row>435</xdr:row>
          <xdr:rowOff>50800</xdr:rowOff>
        </xdr:from>
        <xdr:to>
          <xdr:col>15</xdr:col>
          <xdr:colOff>431800</xdr:colOff>
          <xdr:row>435</xdr:row>
          <xdr:rowOff>336550</xdr:rowOff>
        </xdr:to>
        <xdr:sp macro="" textlink="">
          <xdr:nvSpPr>
            <xdr:cNvPr id="2415624" name="Loop4_Calculation" hidden="1">
              <a:extLst>
                <a:ext uri="{63B3BB69-23CF-44E3-9099-C40C66FF867C}">
                  <a14:compatExt spid="_x0000_s2415624"/>
                </a:ext>
                <a:ext uri="{FF2B5EF4-FFF2-40B4-BE49-F238E27FC236}">
                  <a16:creationId xmlns:a16="http://schemas.microsoft.com/office/drawing/2014/main" id="{00000000-0008-0000-0600-000008DC2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332</xdr:row>
          <xdr:rowOff>19050</xdr:rowOff>
        </xdr:from>
        <xdr:to>
          <xdr:col>3</xdr:col>
          <xdr:colOff>450850</xdr:colOff>
          <xdr:row>333</xdr:row>
          <xdr:rowOff>0</xdr:rowOff>
        </xdr:to>
        <xdr:sp macro="" textlink="">
          <xdr:nvSpPr>
            <xdr:cNvPr id="2415625" name="CheckBox_1_1_Ex1" hidden="1">
              <a:extLst>
                <a:ext uri="{63B3BB69-23CF-44E3-9099-C40C66FF867C}">
                  <a14:compatExt spid="_x0000_s2415625"/>
                </a:ext>
                <a:ext uri="{FF2B5EF4-FFF2-40B4-BE49-F238E27FC236}">
                  <a16:creationId xmlns:a16="http://schemas.microsoft.com/office/drawing/2014/main" id="{00000000-0008-0000-0600-000009DC2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19050</xdr:colOff>
          <xdr:row>332</xdr:row>
          <xdr:rowOff>19050</xdr:rowOff>
        </xdr:from>
        <xdr:to>
          <xdr:col>17</xdr:col>
          <xdr:colOff>450850</xdr:colOff>
          <xdr:row>333</xdr:row>
          <xdr:rowOff>0</xdr:rowOff>
        </xdr:to>
        <xdr:sp macro="" textlink="">
          <xdr:nvSpPr>
            <xdr:cNvPr id="2415626" name="CheckBox_4_2_Ex" hidden="1">
              <a:extLst>
                <a:ext uri="{63B3BB69-23CF-44E3-9099-C40C66FF867C}">
                  <a14:compatExt spid="_x0000_s2415626"/>
                </a:ext>
                <a:ext uri="{FF2B5EF4-FFF2-40B4-BE49-F238E27FC236}">
                  <a16:creationId xmlns:a16="http://schemas.microsoft.com/office/drawing/2014/main" id="{00000000-0008-0000-0600-00000ADC2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19050</xdr:colOff>
          <xdr:row>332</xdr:row>
          <xdr:rowOff>19050</xdr:rowOff>
        </xdr:from>
        <xdr:to>
          <xdr:col>5</xdr:col>
          <xdr:colOff>450850</xdr:colOff>
          <xdr:row>333</xdr:row>
          <xdr:rowOff>0</xdr:rowOff>
        </xdr:to>
        <xdr:sp macro="" textlink="">
          <xdr:nvSpPr>
            <xdr:cNvPr id="2415627" name="CheckBox_1_2_Ex" hidden="1">
              <a:extLst>
                <a:ext uri="{63B3BB69-23CF-44E3-9099-C40C66FF867C}">
                  <a14:compatExt spid="_x0000_s2415627"/>
                </a:ext>
                <a:ext uri="{FF2B5EF4-FFF2-40B4-BE49-F238E27FC236}">
                  <a16:creationId xmlns:a16="http://schemas.microsoft.com/office/drawing/2014/main" id="{00000000-0008-0000-0600-00000BDC2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19050</xdr:colOff>
          <xdr:row>332</xdr:row>
          <xdr:rowOff>19050</xdr:rowOff>
        </xdr:from>
        <xdr:to>
          <xdr:col>7</xdr:col>
          <xdr:colOff>450850</xdr:colOff>
          <xdr:row>333</xdr:row>
          <xdr:rowOff>0</xdr:rowOff>
        </xdr:to>
        <xdr:sp macro="" textlink="">
          <xdr:nvSpPr>
            <xdr:cNvPr id="2415628" name="CheckBox_2_1_Ex1" hidden="1">
              <a:extLst>
                <a:ext uri="{63B3BB69-23CF-44E3-9099-C40C66FF867C}">
                  <a14:compatExt spid="_x0000_s2415628"/>
                </a:ext>
                <a:ext uri="{FF2B5EF4-FFF2-40B4-BE49-F238E27FC236}">
                  <a16:creationId xmlns:a16="http://schemas.microsoft.com/office/drawing/2014/main" id="{00000000-0008-0000-0600-00000CDC2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19050</xdr:colOff>
          <xdr:row>332</xdr:row>
          <xdr:rowOff>19050</xdr:rowOff>
        </xdr:from>
        <xdr:to>
          <xdr:col>9</xdr:col>
          <xdr:colOff>450850</xdr:colOff>
          <xdr:row>333</xdr:row>
          <xdr:rowOff>0</xdr:rowOff>
        </xdr:to>
        <xdr:sp macro="" textlink="">
          <xdr:nvSpPr>
            <xdr:cNvPr id="2415629" name="CheckBox_2_2_Ex" hidden="1">
              <a:extLst>
                <a:ext uri="{63B3BB69-23CF-44E3-9099-C40C66FF867C}">
                  <a14:compatExt spid="_x0000_s2415629"/>
                </a:ext>
                <a:ext uri="{FF2B5EF4-FFF2-40B4-BE49-F238E27FC236}">
                  <a16:creationId xmlns:a16="http://schemas.microsoft.com/office/drawing/2014/main" id="{00000000-0008-0000-0600-00000DDC2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19050</xdr:colOff>
          <xdr:row>332</xdr:row>
          <xdr:rowOff>19050</xdr:rowOff>
        </xdr:from>
        <xdr:to>
          <xdr:col>11</xdr:col>
          <xdr:colOff>450850</xdr:colOff>
          <xdr:row>333</xdr:row>
          <xdr:rowOff>0</xdr:rowOff>
        </xdr:to>
        <xdr:sp macro="" textlink="">
          <xdr:nvSpPr>
            <xdr:cNvPr id="2415630" name="CheckBox_3_1_Ex1" hidden="1">
              <a:extLst>
                <a:ext uri="{63B3BB69-23CF-44E3-9099-C40C66FF867C}">
                  <a14:compatExt spid="_x0000_s2415630"/>
                </a:ext>
                <a:ext uri="{FF2B5EF4-FFF2-40B4-BE49-F238E27FC236}">
                  <a16:creationId xmlns:a16="http://schemas.microsoft.com/office/drawing/2014/main" id="{00000000-0008-0000-0600-00000EDC2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19050</xdr:colOff>
          <xdr:row>332</xdr:row>
          <xdr:rowOff>19050</xdr:rowOff>
        </xdr:from>
        <xdr:to>
          <xdr:col>13</xdr:col>
          <xdr:colOff>438150</xdr:colOff>
          <xdr:row>333</xdr:row>
          <xdr:rowOff>0</xdr:rowOff>
        </xdr:to>
        <xdr:sp macro="" textlink="">
          <xdr:nvSpPr>
            <xdr:cNvPr id="2415631" name="CheckBox_3_2_Ex" hidden="1">
              <a:extLst>
                <a:ext uri="{63B3BB69-23CF-44E3-9099-C40C66FF867C}">
                  <a14:compatExt spid="_x0000_s2415631"/>
                </a:ext>
                <a:ext uri="{FF2B5EF4-FFF2-40B4-BE49-F238E27FC236}">
                  <a16:creationId xmlns:a16="http://schemas.microsoft.com/office/drawing/2014/main" id="{00000000-0008-0000-0600-00000FDC2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19050</xdr:colOff>
          <xdr:row>332</xdr:row>
          <xdr:rowOff>19050</xdr:rowOff>
        </xdr:from>
        <xdr:to>
          <xdr:col>15</xdr:col>
          <xdr:colOff>450850</xdr:colOff>
          <xdr:row>333</xdr:row>
          <xdr:rowOff>0</xdr:rowOff>
        </xdr:to>
        <xdr:sp macro="" textlink="">
          <xdr:nvSpPr>
            <xdr:cNvPr id="2415632" name="CheckBox_4_1_Ex1" hidden="1">
              <a:extLst>
                <a:ext uri="{63B3BB69-23CF-44E3-9099-C40C66FF867C}">
                  <a14:compatExt spid="_x0000_s2415632"/>
                </a:ext>
                <a:ext uri="{FF2B5EF4-FFF2-40B4-BE49-F238E27FC236}">
                  <a16:creationId xmlns:a16="http://schemas.microsoft.com/office/drawing/2014/main" id="{00000000-0008-0000-0600-000010DC2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351</xdr:row>
          <xdr:rowOff>19050</xdr:rowOff>
        </xdr:from>
        <xdr:to>
          <xdr:col>3</xdr:col>
          <xdr:colOff>450850</xdr:colOff>
          <xdr:row>352</xdr:row>
          <xdr:rowOff>0</xdr:rowOff>
        </xdr:to>
        <xdr:sp macro="" textlink="">
          <xdr:nvSpPr>
            <xdr:cNvPr id="2415633" name="CheckBox_1_1_Ex2" hidden="1">
              <a:extLst>
                <a:ext uri="{63B3BB69-23CF-44E3-9099-C40C66FF867C}">
                  <a14:compatExt spid="_x0000_s2415633"/>
                </a:ext>
                <a:ext uri="{FF2B5EF4-FFF2-40B4-BE49-F238E27FC236}">
                  <a16:creationId xmlns:a16="http://schemas.microsoft.com/office/drawing/2014/main" id="{00000000-0008-0000-0600-000011DC2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19050</xdr:colOff>
          <xdr:row>351</xdr:row>
          <xdr:rowOff>19050</xdr:rowOff>
        </xdr:from>
        <xdr:to>
          <xdr:col>7</xdr:col>
          <xdr:colOff>450850</xdr:colOff>
          <xdr:row>352</xdr:row>
          <xdr:rowOff>0</xdr:rowOff>
        </xdr:to>
        <xdr:sp macro="" textlink="">
          <xdr:nvSpPr>
            <xdr:cNvPr id="2415634" name="CheckBox_2_1_Ex2" hidden="1">
              <a:extLst>
                <a:ext uri="{63B3BB69-23CF-44E3-9099-C40C66FF867C}">
                  <a14:compatExt spid="_x0000_s2415634"/>
                </a:ext>
                <a:ext uri="{FF2B5EF4-FFF2-40B4-BE49-F238E27FC236}">
                  <a16:creationId xmlns:a16="http://schemas.microsoft.com/office/drawing/2014/main" id="{00000000-0008-0000-0600-000012DC2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19050</xdr:colOff>
          <xdr:row>351</xdr:row>
          <xdr:rowOff>19050</xdr:rowOff>
        </xdr:from>
        <xdr:to>
          <xdr:col>11</xdr:col>
          <xdr:colOff>450850</xdr:colOff>
          <xdr:row>352</xdr:row>
          <xdr:rowOff>0</xdr:rowOff>
        </xdr:to>
        <xdr:sp macro="" textlink="">
          <xdr:nvSpPr>
            <xdr:cNvPr id="2415635" name="CheckBox_3_1_Ex2" hidden="1">
              <a:extLst>
                <a:ext uri="{63B3BB69-23CF-44E3-9099-C40C66FF867C}">
                  <a14:compatExt spid="_x0000_s2415635"/>
                </a:ext>
                <a:ext uri="{FF2B5EF4-FFF2-40B4-BE49-F238E27FC236}">
                  <a16:creationId xmlns:a16="http://schemas.microsoft.com/office/drawing/2014/main" id="{00000000-0008-0000-0600-000013DC2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19050</xdr:colOff>
          <xdr:row>351</xdr:row>
          <xdr:rowOff>19050</xdr:rowOff>
        </xdr:from>
        <xdr:to>
          <xdr:col>15</xdr:col>
          <xdr:colOff>450850</xdr:colOff>
          <xdr:row>352</xdr:row>
          <xdr:rowOff>0</xdr:rowOff>
        </xdr:to>
        <xdr:sp macro="" textlink="">
          <xdr:nvSpPr>
            <xdr:cNvPr id="2415636" name="CheckBox_4_1_Ex2" hidden="1">
              <a:extLst>
                <a:ext uri="{63B3BB69-23CF-44E3-9099-C40C66FF867C}">
                  <a14:compatExt spid="_x0000_s2415636"/>
                </a:ext>
                <a:ext uri="{FF2B5EF4-FFF2-40B4-BE49-F238E27FC236}">
                  <a16:creationId xmlns:a16="http://schemas.microsoft.com/office/drawing/2014/main" id="{00000000-0008-0000-0600-000014DC2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1631950</xdr:colOff>
          <xdr:row>60</xdr:row>
          <xdr:rowOff>133350</xdr:rowOff>
        </xdr:from>
        <xdr:to>
          <xdr:col>1</xdr:col>
          <xdr:colOff>4076700</xdr:colOff>
          <xdr:row>60</xdr:row>
          <xdr:rowOff>419100</xdr:rowOff>
        </xdr:to>
        <xdr:sp macro="" textlink="">
          <xdr:nvSpPr>
            <xdr:cNvPr id="2415637" name="AlarmIndicator" hidden="1">
              <a:extLst>
                <a:ext uri="{63B3BB69-23CF-44E3-9099-C40C66FF867C}">
                  <a14:compatExt spid="_x0000_s2415637"/>
                </a:ext>
                <a:ext uri="{FF2B5EF4-FFF2-40B4-BE49-F238E27FC236}">
                  <a16:creationId xmlns:a16="http://schemas.microsoft.com/office/drawing/2014/main" id="{00000000-0008-0000-0600-000015DC2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50800</xdr:colOff>
          <xdr:row>435</xdr:row>
          <xdr:rowOff>50800</xdr:rowOff>
        </xdr:from>
        <xdr:to>
          <xdr:col>3</xdr:col>
          <xdr:colOff>438150</xdr:colOff>
          <xdr:row>435</xdr:row>
          <xdr:rowOff>336550</xdr:rowOff>
        </xdr:to>
        <xdr:sp macro="" textlink="">
          <xdr:nvSpPr>
            <xdr:cNvPr id="2415638" name="Loop1_Calculation" hidden="1">
              <a:extLst>
                <a:ext uri="{63B3BB69-23CF-44E3-9099-C40C66FF867C}">
                  <a14:compatExt spid="_x0000_s2415638"/>
                </a:ext>
                <a:ext uri="{FF2B5EF4-FFF2-40B4-BE49-F238E27FC236}">
                  <a16:creationId xmlns:a16="http://schemas.microsoft.com/office/drawing/2014/main" id="{00000000-0008-0000-0600-000016DC2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80</xdr:row>
          <xdr:rowOff>50800</xdr:rowOff>
        </xdr:from>
        <xdr:to>
          <xdr:col>3</xdr:col>
          <xdr:colOff>450850</xdr:colOff>
          <xdr:row>80</xdr:row>
          <xdr:rowOff>336550</xdr:rowOff>
        </xdr:to>
        <xdr:sp macro="" textlink="">
          <xdr:nvSpPr>
            <xdr:cNvPr id="2415639" name="Loop1" hidden="1">
              <a:extLst>
                <a:ext uri="{63B3BB69-23CF-44E3-9099-C40C66FF867C}">
                  <a14:compatExt spid="_x0000_s2415639"/>
                </a:ext>
                <a:ext uri="{FF2B5EF4-FFF2-40B4-BE49-F238E27FC236}">
                  <a16:creationId xmlns:a16="http://schemas.microsoft.com/office/drawing/2014/main" id="{00000000-0008-0000-0600-000017DC2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666750</xdr:colOff>
          <xdr:row>583</xdr:row>
          <xdr:rowOff>19050</xdr:rowOff>
        </xdr:from>
        <xdr:to>
          <xdr:col>1</xdr:col>
          <xdr:colOff>3714750</xdr:colOff>
          <xdr:row>587</xdr:row>
          <xdr:rowOff>114300</xdr:rowOff>
        </xdr:to>
        <xdr:sp macro="" textlink="">
          <xdr:nvSpPr>
            <xdr:cNvPr id="2415640" name="Calculate_FDnet_2" hidden="1">
              <a:extLst>
                <a:ext uri="{63B3BB69-23CF-44E3-9099-C40C66FF867C}">
                  <a14:compatExt spid="_x0000_s2415640"/>
                </a:ext>
                <a:ext uri="{FF2B5EF4-FFF2-40B4-BE49-F238E27FC236}">
                  <a16:creationId xmlns:a16="http://schemas.microsoft.com/office/drawing/2014/main" id="{00000000-0008-0000-0600-000018DC2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1885950</xdr:colOff>
          <xdr:row>405</xdr:row>
          <xdr:rowOff>19050</xdr:rowOff>
        </xdr:from>
        <xdr:to>
          <xdr:col>1</xdr:col>
          <xdr:colOff>4324350</xdr:colOff>
          <xdr:row>406</xdr:row>
          <xdr:rowOff>146050</xdr:rowOff>
        </xdr:to>
        <xdr:sp macro="" textlink="">
          <xdr:nvSpPr>
            <xdr:cNvPr id="2415641" name="ChooseCableTyp" hidden="1">
              <a:extLst>
                <a:ext uri="{63B3BB69-23CF-44E3-9099-C40C66FF867C}">
                  <a14:compatExt spid="_x0000_s2415641"/>
                </a:ext>
                <a:ext uri="{FF2B5EF4-FFF2-40B4-BE49-F238E27FC236}">
                  <a16:creationId xmlns:a16="http://schemas.microsoft.com/office/drawing/2014/main" id="{00000000-0008-0000-0600-000019DC2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704850</xdr:colOff>
          <xdr:row>39</xdr:row>
          <xdr:rowOff>38100</xdr:rowOff>
        </xdr:from>
        <xdr:to>
          <xdr:col>1</xdr:col>
          <xdr:colOff>3752850</xdr:colOff>
          <xdr:row>44</xdr:row>
          <xdr:rowOff>0</xdr:rowOff>
        </xdr:to>
        <xdr:sp macro="" textlink="">
          <xdr:nvSpPr>
            <xdr:cNvPr id="2415642" name="Calculate_FDnet_1" hidden="1">
              <a:extLst>
                <a:ext uri="{63B3BB69-23CF-44E3-9099-C40C66FF867C}">
                  <a14:compatExt spid="_x0000_s2415642"/>
                </a:ext>
                <a:ext uri="{FF2B5EF4-FFF2-40B4-BE49-F238E27FC236}">
                  <a16:creationId xmlns:a16="http://schemas.microsoft.com/office/drawing/2014/main" id="{00000000-0008-0000-0600-00001ADC2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190500</xdr:colOff>
          <xdr:row>55</xdr:row>
          <xdr:rowOff>19050</xdr:rowOff>
        </xdr:from>
        <xdr:to>
          <xdr:col>1</xdr:col>
          <xdr:colOff>1098550</xdr:colOff>
          <xdr:row>63</xdr:row>
          <xdr:rowOff>31750</xdr:rowOff>
        </xdr:to>
        <xdr:sp macro="" textlink="">
          <xdr:nvSpPr>
            <xdr:cNvPr id="2416641" name="Object 1" hidden="1">
              <a:extLst>
                <a:ext uri="{63B3BB69-23CF-44E3-9099-C40C66FF867C}">
                  <a14:compatExt spid="_x0000_s2416641"/>
                </a:ext>
                <a:ext uri="{FF2B5EF4-FFF2-40B4-BE49-F238E27FC236}">
                  <a16:creationId xmlns:a16="http://schemas.microsoft.com/office/drawing/2014/main" id="{00000000-0008-0000-0700-000001E024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18</xdr:col>
      <xdr:colOff>0</xdr:colOff>
      <xdr:row>186</xdr:row>
      <xdr:rowOff>0</xdr:rowOff>
    </xdr:from>
    <xdr:to>
      <xdr:col>18</xdr:col>
      <xdr:colOff>0</xdr:colOff>
      <xdr:row>186</xdr:row>
      <xdr:rowOff>0</xdr:rowOff>
    </xdr:to>
    <xdr:sp macro="" textlink="">
      <xdr:nvSpPr>
        <xdr:cNvPr id="2" name="Rectangle 3">
          <a:extLst>
            <a:ext uri="{FF2B5EF4-FFF2-40B4-BE49-F238E27FC236}">
              <a16:creationId xmlns:a16="http://schemas.microsoft.com/office/drawing/2014/main" id="{00000000-0008-0000-0800-000002000000}"/>
            </a:ext>
          </a:extLst>
        </xdr:cNvPr>
        <xdr:cNvSpPr>
          <a:spLocks noChangeArrowheads="1"/>
        </xdr:cNvSpPr>
      </xdr:nvSpPr>
      <xdr:spPr bwMode="auto">
        <a:xfrm>
          <a:off x="16535400" y="30641925"/>
          <a:ext cx="0" cy="0"/>
        </a:xfrm>
        <a:prstGeom prst="rect">
          <a:avLst/>
        </a:prstGeom>
        <a:noFill/>
        <a:ln w="38100" cmpd="dbl">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0</xdr:colOff>
      <xdr:row>186</xdr:row>
      <xdr:rowOff>0</xdr:rowOff>
    </xdr:from>
    <xdr:to>
      <xdr:col>18</xdr:col>
      <xdr:colOff>0</xdr:colOff>
      <xdr:row>186</xdr:row>
      <xdr:rowOff>0</xdr:rowOff>
    </xdr:to>
    <xdr:sp macro="" textlink="">
      <xdr:nvSpPr>
        <xdr:cNvPr id="3" name="Rectangle 4">
          <a:extLst>
            <a:ext uri="{FF2B5EF4-FFF2-40B4-BE49-F238E27FC236}">
              <a16:creationId xmlns:a16="http://schemas.microsoft.com/office/drawing/2014/main" id="{00000000-0008-0000-0800-000003000000}"/>
            </a:ext>
          </a:extLst>
        </xdr:cNvPr>
        <xdr:cNvSpPr>
          <a:spLocks noChangeArrowheads="1"/>
        </xdr:cNvSpPr>
      </xdr:nvSpPr>
      <xdr:spPr bwMode="auto">
        <a:xfrm>
          <a:off x="16535400" y="30641925"/>
          <a:ext cx="0" cy="0"/>
        </a:xfrm>
        <a:prstGeom prst="rect">
          <a:avLst/>
        </a:prstGeom>
        <a:noFill/>
        <a:ln w="38100" cmpd="dbl">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0</xdr:colOff>
      <xdr:row>186</xdr:row>
      <xdr:rowOff>0</xdr:rowOff>
    </xdr:from>
    <xdr:to>
      <xdr:col>18</xdr:col>
      <xdr:colOff>0</xdr:colOff>
      <xdr:row>186</xdr:row>
      <xdr:rowOff>0</xdr:rowOff>
    </xdr:to>
    <xdr:sp macro="" textlink="">
      <xdr:nvSpPr>
        <xdr:cNvPr id="4" name="Rectangle 5">
          <a:extLst>
            <a:ext uri="{FF2B5EF4-FFF2-40B4-BE49-F238E27FC236}">
              <a16:creationId xmlns:a16="http://schemas.microsoft.com/office/drawing/2014/main" id="{00000000-0008-0000-0800-000004000000}"/>
            </a:ext>
          </a:extLst>
        </xdr:cNvPr>
        <xdr:cNvSpPr>
          <a:spLocks noChangeArrowheads="1"/>
        </xdr:cNvSpPr>
      </xdr:nvSpPr>
      <xdr:spPr bwMode="auto">
        <a:xfrm>
          <a:off x="16535400" y="30641925"/>
          <a:ext cx="0" cy="0"/>
        </a:xfrm>
        <a:prstGeom prst="rect">
          <a:avLst/>
        </a:prstGeom>
        <a:noFill/>
        <a:ln w="38100" cmpd="dbl">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0</xdr:colOff>
      <xdr:row>188</xdr:row>
      <xdr:rowOff>0</xdr:rowOff>
    </xdr:from>
    <xdr:to>
      <xdr:col>18</xdr:col>
      <xdr:colOff>0</xdr:colOff>
      <xdr:row>188</xdr:row>
      <xdr:rowOff>0</xdr:rowOff>
    </xdr:to>
    <xdr:sp macro="" textlink="">
      <xdr:nvSpPr>
        <xdr:cNvPr id="5" name="Rectangle 19">
          <a:extLst>
            <a:ext uri="{FF2B5EF4-FFF2-40B4-BE49-F238E27FC236}">
              <a16:creationId xmlns:a16="http://schemas.microsoft.com/office/drawing/2014/main" id="{00000000-0008-0000-0800-000005000000}"/>
            </a:ext>
          </a:extLst>
        </xdr:cNvPr>
        <xdr:cNvSpPr>
          <a:spLocks noChangeArrowheads="1"/>
        </xdr:cNvSpPr>
      </xdr:nvSpPr>
      <xdr:spPr bwMode="auto">
        <a:xfrm>
          <a:off x="16535400" y="30965775"/>
          <a:ext cx="0" cy="0"/>
        </a:xfrm>
        <a:prstGeom prst="rect">
          <a:avLst/>
        </a:prstGeom>
        <a:noFill/>
        <a:ln w="38100" cmpd="dbl">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0</xdr:colOff>
      <xdr:row>188</xdr:row>
      <xdr:rowOff>0</xdr:rowOff>
    </xdr:from>
    <xdr:to>
      <xdr:col>18</xdr:col>
      <xdr:colOff>0</xdr:colOff>
      <xdr:row>188</xdr:row>
      <xdr:rowOff>0</xdr:rowOff>
    </xdr:to>
    <xdr:sp macro="" textlink="">
      <xdr:nvSpPr>
        <xdr:cNvPr id="6" name="Rectangle 20">
          <a:extLst>
            <a:ext uri="{FF2B5EF4-FFF2-40B4-BE49-F238E27FC236}">
              <a16:creationId xmlns:a16="http://schemas.microsoft.com/office/drawing/2014/main" id="{00000000-0008-0000-0800-000006000000}"/>
            </a:ext>
          </a:extLst>
        </xdr:cNvPr>
        <xdr:cNvSpPr>
          <a:spLocks noChangeArrowheads="1"/>
        </xdr:cNvSpPr>
      </xdr:nvSpPr>
      <xdr:spPr bwMode="auto">
        <a:xfrm>
          <a:off x="16535400" y="30965775"/>
          <a:ext cx="0" cy="0"/>
        </a:xfrm>
        <a:prstGeom prst="rect">
          <a:avLst/>
        </a:prstGeom>
        <a:noFill/>
        <a:ln w="38100" cmpd="dbl">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0</xdr:colOff>
      <xdr:row>188</xdr:row>
      <xdr:rowOff>0</xdr:rowOff>
    </xdr:from>
    <xdr:to>
      <xdr:col>18</xdr:col>
      <xdr:colOff>0</xdr:colOff>
      <xdr:row>188</xdr:row>
      <xdr:rowOff>0</xdr:rowOff>
    </xdr:to>
    <xdr:sp macro="" textlink="">
      <xdr:nvSpPr>
        <xdr:cNvPr id="7" name="Rectangle 21">
          <a:extLst>
            <a:ext uri="{FF2B5EF4-FFF2-40B4-BE49-F238E27FC236}">
              <a16:creationId xmlns:a16="http://schemas.microsoft.com/office/drawing/2014/main" id="{00000000-0008-0000-0800-000007000000}"/>
            </a:ext>
          </a:extLst>
        </xdr:cNvPr>
        <xdr:cNvSpPr>
          <a:spLocks noChangeArrowheads="1"/>
        </xdr:cNvSpPr>
      </xdr:nvSpPr>
      <xdr:spPr bwMode="auto">
        <a:xfrm>
          <a:off x="16535400" y="30965775"/>
          <a:ext cx="0" cy="0"/>
        </a:xfrm>
        <a:prstGeom prst="rect">
          <a:avLst/>
        </a:prstGeom>
        <a:noFill/>
        <a:ln w="38100" cmpd="dbl">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0</xdr:colOff>
      <xdr:row>188</xdr:row>
      <xdr:rowOff>0</xdr:rowOff>
    </xdr:from>
    <xdr:to>
      <xdr:col>18</xdr:col>
      <xdr:colOff>0</xdr:colOff>
      <xdr:row>188</xdr:row>
      <xdr:rowOff>0</xdr:rowOff>
    </xdr:to>
    <xdr:sp macro="" textlink="">
      <xdr:nvSpPr>
        <xdr:cNvPr id="8" name="Rectangle 22">
          <a:extLst>
            <a:ext uri="{FF2B5EF4-FFF2-40B4-BE49-F238E27FC236}">
              <a16:creationId xmlns:a16="http://schemas.microsoft.com/office/drawing/2014/main" id="{00000000-0008-0000-0800-000008000000}"/>
            </a:ext>
          </a:extLst>
        </xdr:cNvPr>
        <xdr:cNvSpPr>
          <a:spLocks noChangeArrowheads="1"/>
        </xdr:cNvSpPr>
      </xdr:nvSpPr>
      <xdr:spPr bwMode="auto">
        <a:xfrm>
          <a:off x="16535400" y="30965775"/>
          <a:ext cx="0" cy="0"/>
        </a:xfrm>
        <a:prstGeom prst="rect">
          <a:avLst/>
        </a:prstGeom>
        <a:noFill/>
        <a:ln w="38100" cmpd="dbl">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0</xdr:colOff>
      <xdr:row>188</xdr:row>
      <xdr:rowOff>0</xdr:rowOff>
    </xdr:from>
    <xdr:to>
      <xdr:col>18</xdr:col>
      <xdr:colOff>0</xdr:colOff>
      <xdr:row>188</xdr:row>
      <xdr:rowOff>0</xdr:rowOff>
    </xdr:to>
    <xdr:sp macro="" textlink="">
      <xdr:nvSpPr>
        <xdr:cNvPr id="9" name="Rectangle 23">
          <a:extLst>
            <a:ext uri="{FF2B5EF4-FFF2-40B4-BE49-F238E27FC236}">
              <a16:creationId xmlns:a16="http://schemas.microsoft.com/office/drawing/2014/main" id="{00000000-0008-0000-0800-000009000000}"/>
            </a:ext>
          </a:extLst>
        </xdr:cNvPr>
        <xdr:cNvSpPr>
          <a:spLocks noChangeArrowheads="1"/>
        </xdr:cNvSpPr>
      </xdr:nvSpPr>
      <xdr:spPr bwMode="auto">
        <a:xfrm>
          <a:off x="16535400" y="30965775"/>
          <a:ext cx="0" cy="0"/>
        </a:xfrm>
        <a:prstGeom prst="rect">
          <a:avLst/>
        </a:prstGeom>
        <a:noFill/>
        <a:ln w="38100" cmpd="dbl">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0</xdr:colOff>
      <xdr:row>188</xdr:row>
      <xdr:rowOff>0</xdr:rowOff>
    </xdr:from>
    <xdr:to>
      <xdr:col>18</xdr:col>
      <xdr:colOff>0</xdr:colOff>
      <xdr:row>188</xdr:row>
      <xdr:rowOff>0</xdr:rowOff>
    </xdr:to>
    <xdr:sp macro="" textlink="">
      <xdr:nvSpPr>
        <xdr:cNvPr id="10" name="Rectangle 24">
          <a:extLst>
            <a:ext uri="{FF2B5EF4-FFF2-40B4-BE49-F238E27FC236}">
              <a16:creationId xmlns:a16="http://schemas.microsoft.com/office/drawing/2014/main" id="{00000000-0008-0000-0800-00000A000000}"/>
            </a:ext>
          </a:extLst>
        </xdr:cNvPr>
        <xdr:cNvSpPr>
          <a:spLocks noChangeArrowheads="1"/>
        </xdr:cNvSpPr>
      </xdr:nvSpPr>
      <xdr:spPr bwMode="auto">
        <a:xfrm>
          <a:off x="16535400" y="30965775"/>
          <a:ext cx="0" cy="0"/>
        </a:xfrm>
        <a:prstGeom prst="rect">
          <a:avLst/>
        </a:prstGeom>
        <a:noFill/>
        <a:ln w="38100" cmpd="dbl">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0</xdr:colOff>
      <xdr:row>201</xdr:row>
      <xdr:rowOff>0</xdr:rowOff>
    </xdr:from>
    <xdr:to>
      <xdr:col>18</xdr:col>
      <xdr:colOff>0</xdr:colOff>
      <xdr:row>201</xdr:row>
      <xdr:rowOff>0</xdr:rowOff>
    </xdr:to>
    <xdr:sp macro="" textlink="">
      <xdr:nvSpPr>
        <xdr:cNvPr id="11" name="Rectangle 33">
          <a:extLst>
            <a:ext uri="{FF2B5EF4-FFF2-40B4-BE49-F238E27FC236}">
              <a16:creationId xmlns:a16="http://schemas.microsoft.com/office/drawing/2014/main" id="{00000000-0008-0000-0800-00000B000000}"/>
            </a:ext>
          </a:extLst>
        </xdr:cNvPr>
        <xdr:cNvSpPr>
          <a:spLocks noChangeArrowheads="1"/>
        </xdr:cNvSpPr>
      </xdr:nvSpPr>
      <xdr:spPr bwMode="auto">
        <a:xfrm>
          <a:off x="16535400" y="33137475"/>
          <a:ext cx="0" cy="0"/>
        </a:xfrm>
        <a:prstGeom prst="rect">
          <a:avLst/>
        </a:prstGeom>
        <a:noFill/>
        <a:ln w="38100" cmpd="dbl">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0</xdr:colOff>
      <xdr:row>201</xdr:row>
      <xdr:rowOff>0</xdr:rowOff>
    </xdr:from>
    <xdr:to>
      <xdr:col>18</xdr:col>
      <xdr:colOff>0</xdr:colOff>
      <xdr:row>201</xdr:row>
      <xdr:rowOff>0</xdr:rowOff>
    </xdr:to>
    <xdr:sp macro="" textlink="">
      <xdr:nvSpPr>
        <xdr:cNvPr id="12" name="Rectangle 34">
          <a:extLst>
            <a:ext uri="{FF2B5EF4-FFF2-40B4-BE49-F238E27FC236}">
              <a16:creationId xmlns:a16="http://schemas.microsoft.com/office/drawing/2014/main" id="{00000000-0008-0000-0800-00000C000000}"/>
            </a:ext>
          </a:extLst>
        </xdr:cNvPr>
        <xdr:cNvSpPr>
          <a:spLocks noChangeArrowheads="1"/>
        </xdr:cNvSpPr>
      </xdr:nvSpPr>
      <xdr:spPr bwMode="auto">
        <a:xfrm>
          <a:off x="16535400" y="33137475"/>
          <a:ext cx="0" cy="0"/>
        </a:xfrm>
        <a:prstGeom prst="rect">
          <a:avLst/>
        </a:prstGeom>
        <a:noFill/>
        <a:ln w="38100" cmpd="dbl">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0</xdr:colOff>
      <xdr:row>201</xdr:row>
      <xdr:rowOff>0</xdr:rowOff>
    </xdr:from>
    <xdr:to>
      <xdr:col>18</xdr:col>
      <xdr:colOff>0</xdr:colOff>
      <xdr:row>201</xdr:row>
      <xdr:rowOff>0</xdr:rowOff>
    </xdr:to>
    <xdr:sp macro="" textlink="">
      <xdr:nvSpPr>
        <xdr:cNvPr id="13" name="Rectangle 35">
          <a:extLst>
            <a:ext uri="{FF2B5EF4-FFF2-40B4-BE49-F238E27FC236}">
              <a16:creationId xmlns:a16="http://schemas.microsoft.com/office/drawing/2014/main" id="{00000000-0008-0000-0800-00000D000000}"/>
            </a:ext>
          </a:extLst>
        </xdr:cNvPr>
        <xdr:cNvSpPr>
          <a:spLocks noChangeArrowheads="1"/>
        </xdr:cNvSpPr>
      </xdr:nvSpPr>
      <xdr:spPr bwMode="auto">
        <a:xfrm>
          <a:off x="16535400" y="33137475"/>
          <a:ext cx="0" cy="0"/>
        </a:xfrm>
        <a:prstGeom prst="rect">
          <a:avLst/>
        </a:prstGeom>
        <a:noFill/>
        <a:ln w="38100" cmpd="dbl">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0</xdr:colOff>
      <xdr:row>201</xdr:row>
      <xdr:rowOff>0</xdr:rowOff>
    </xdr:from>
    <xdr:to>
      <xdr:col>18</xdr:col>
      <xdr:colOff>0</xdr:colOff>
      <xdr:row>201</xdr:row>
      <xdr:rowOff>0</xdr:rowOff>
    </xdr:to>
    <xdr:sp macro="" textlink="">
      <xdr:nvSpPr>
        <xdr:cNvPr id="14" name="Rectangle 44">
          <a:extLst>
            <a:ext uri="{FF2B5EF4-FFF2-40B4-BE49-F238E27FC236}">
              <a16:creationId xmlns:a16="http://schemas.microsoft.com/office/drawing/2014/main" id="{00000000-0008-0000-0800-00000E000000}"/>
            </a:ext>
          </a:extLst>
        </xdr:cNvPr>
        <xdr:cNvSpPr>
          <a:spLocks noChangeArrowheads="1"/>
        </xdr:cNvSpPr>
      </xdr:nvSpPr>
      <xdr:spPr bwMode="auto">
        <a:xfrm>
          <a:off x="16535400" y="33137475"/>
          <a:ext cx="0" cy="0"/>
        </a:xfrm>
        <a:prstGeom prst="rect">
          <a:avLst/>
        </a:prstGeom>
        <a:noFill/>
        <a:ln w="38100" cmpd="dbl">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0</xdr:colOff>
      <xdr:row>201</xdr:row>
      <xdr:rowOff>0</xdr:rowOff>
    </xdr:from>
    <xdr:to>
      <xdr:col>18</xdr:col>
      <xdr:colOff>0</xdr:colOff>
      <xdr:row>201</xdr:row>
      <xdr:rowOff>0</xdr:rowOff>
    </xdr:to>
    <xdr:sp macro="" textlink="">
      <xdr:nvSpPr>
        <xdr:cNvPr id="15" name="Rectangle 45">
          <a:extLst>
            <a:ext uri="{FF2B5EF4-FFF2-40B4-BE49-F238E27FC236}">
              <a16:creationId xmlns:a16="http://schemas.microsoft.com/office/drawing/2014/main" id="{00000000-0008-0000-0800-00000F000000}"/>
            </a:ext>
          </a:extLst>
        </xdr:cNvPr>
        <xdr:cNvSpPr>
          <a:spLocks noChangeArrowheads="1"/>
        </xdr:cNvSpPr>
      </xdr:nvSpPr>
      <xdr:spPr bwMode="auto">
        <a:xfrm>
          <a:off x="16535400" y="33137475"/>
          <a:ext cx="0" cy="0"/>
        </a:xfrm>
        <a:prstGeom prst="rect">
          <a:avLst/>
        </a:prstGeom>
        <a:noFill/>
        <a:ln w="38100" cmpd="dbl">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0</xdr:colOff>
      <xdr:row>201</xdr:row>
      <xdr:rowOff>0</xdr:rowOff>
    </xdr:from>
    <xdr:to>
      <xdr:col>18</xdr:col>
      <xdr:colOff>0</xdr:colOff>
      <xdr:row>201</xdr:row>
      <xdr:rowOff>0</xdr:rowOff>
    </xdr:to>
    <xdr:sp macro="" textlink="">
      <xdr:nvSpPr>
        <xdr:cNvPr id="16" name="Rectangle 46">
          <a:extLst>
            <a:ext uri="{FF2B5EF4-FFF2-40B4-BE49-F238E27FC236}">
              <a16:creationId xmlns:a16="http://schemas.microsoft.com/office/drawing/2014/main" id="{00000000-0008-0000-0800-000010000000}"/>
            </a:ext>
          </a:extLst>
        </xdr:cNvPr>
        <xdr:cNvSpPr>
          <a:spLocks noChangeArrowheads="1"/>
        </xdr:cNvSpPr>
      </xdr:nvSpPr>
      <xdr:spPr bwMode="auto">
        <a:xfrm>
          <a:off x="16535400" y="33137475"/>
          <a:ext cx="0" cy="0"/>
        </a:xfrm>
        <a:prstGeom prst="rect">
          <a:avLst/>
        </a:prstGeom>
        <a:noFill/>
        <a:ln w="38100" cmpd="dbl">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0</xdr:colOff>
      <xdr:row>201</xdr:row>
      <xdr:rowOff>0</xdr:rowOff>
    </xdr:from>
    <xdr:to>
      <xdr:col>18</xdr:col>
      <xdr:colOff>0</xdr:colOff>
      <xdr:row>201</xdr:row>
      <xdr:rowOff>0</xdr:rowOff>
    </xdr:to>
    <xdr:sp macro="" textlink="">
      <xdr:nvSpPr>
        <xdr:cNvPr id="17" name="Rectangle 55">
          <a:extLst>
            <a:ext uri="{FF2B5EF4-FFF2-40B4-BE49-F238E27FC236}">
              <a16:creationId xmlns:a16="http://schemas.microsoft.com/office/drawing/2014/main" id="{00000000-0008-0000-0800-000011000000}"/>
            </a:ext>
          </a:extLst>
        </xdr:cNvPr>
        <xdr:cNvSpPr>
          <a:spLocks noChangeArrowheads="1"/>
        </xdr:cNvSpPr>
      </xdr:nvSpPr>
      <xdr:spPr bwMode="auto">
        <a:xfrm>
          <a:off x="16535400" y="33137475"/>
          <a:ext cx="0" cy="0"/>
        </a:xfrm>
        <a:prstGeom prst="rect">
          <a:avLst/>
        </a:prstGeom>
        <a:noFill/>
        <a:ln w="38100" cmpd="dbl">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0</xdr:colOff>
      <xdr:row>201</xdr:row>
      <xdr:rowOff>0</xdr:rowOff>
    </xdr:from>
    <xdr:to>
      <xdr:col>18</xdr:col>
      <xdr:colOff>0</xdr:colOff>
      <xdr:row>201</xdr:row>
      <xdr:rowOff>0</xdr:rowOff>
    </xdr:to>
    <xdr:sp macro="" textlink="">
      <xdr:nvSpPr>
        <xdr:cNvPr id="18" name="Rectangle 56">
          <a:extLst>
            <a:ext uri="{FF2B5EF4-FFF2-40B4-BE49-F238E27FC236}">
              <a16:creationId xmlns:a16="http://schemas.microsoft.com/office/drawing/2014/main" id="{00000000-0008-0000-0800-000012000000}"/>
            </a:ext>
          </a:extLst>
        </xdr:cNvPr>
        <xdr:cNvSpPr>
          <a:spLocks noChangeArrowheads="1"/>
        </xdr:cNvSpPr>
      </xdr:nvSpPr>
      <xdr:spPr bwMode="auto">
        <a:xfrm>
          <a:off x="16535400" y="33137475"/>
          <a:ext cx="0" cy="0"/>
        </a:xfrm>
        <a:prstGeom prst="rect">
          <a:avLst/>
        </a:prstGeom>
        <a:noFill/>
        <a:ln w="38100" cmpd="dbl">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0</xdr:colOff>
      <xdr:row>201</xdr:row>
      <xdr:rowOff>0</xdr:rowOff>
    </xdr:from>
    <xdr:to>
      <xdr:col>18</xdr:col>
      <xdr:colOff>0</xdr:colOff>
      <xdr:row>201</xdr:row>
      <xdr:rowOff>0</xdr:rowOff>
    </xdr:to>
    <xdr:sp macro="" textlink="">
      <xdr:nvSpPr>
        <xdr:cNvPr id="19" name="Rectangle 57">
          <a:extLst>
            <a:ext uri="{FF2B5EF4-FFF2-40B4-BE49-F238E27FC236}">
              <a16:creationId xmlns:a16="http://schemas.microsoft.com/office/drawing/2014/main" id="{00000000-0008-0000-0800-000013000000}"/>
            </a:ext>
          </a:extLst>
        </xdr:cNvPr>
        <xdr:cNvSpPr>
          <a:spLocks noChangeArrowheads="1"/>
        </xdr:cNvSpPr>
      </xdr:nvSpPr>
      <xdr:spPr bwMode="auto">
        <a:xfrm>
          <a:off x="16535400" y="33137475"/>
          <a:ext cx="0" cy="0"/>
        </a:xfrm>
        <a:prstGeom prst="rect">
          <a:avLst/>
        </a:prstGeom>
        <a:noFill/>
        <a:ln w="38100" cmpd="dbl">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NMP2%20-%20Backup20200831_Last%20Old%20version%20-%20instruction%20for%20FS2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NB/FC360%20EN%20MP2/Development/Hardware/Quantities%20Tool/ENMP2%20-%20Backup2020083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structions"/>
      <sheetName val="RevisionNotes"/>
      <sheetName val="FC360_Panel"/>
      <sheetName val="C-NET_Module2"/>
      <sheetName val="C-NET_Calc_Module2"/>
      <sheetName val="Panel_comp"/>
      <sheetName val="Panel_values"/>
      <sheetName val="FDnet_Ref"/>
      <sheetName val="FDnet_Calc_Ref"/>
      <sheetName val="FDnet_Constants"/>
    </sheetNames>
    <sheetDataSet>
      <sheetData sheetId="0"/>
      <sheetData sheetId="1"/>
      <sheetData sheetId="2"/>
      <sheetData sheetId="3"/>
      <sheetData sheetId="4"/>
      <sheetData sheetId="5"/>
      <sheetData sheetId="6"/>
      <sheetData sheetId="7"/>
      <sheetData sheetId="8"/>
      <sheetData sheetId="9"/>
      <sheetData sheetId="10">
        <row r="3">
          <cell r="C3">
            <v>3300</v>
          </cell>
        </row>
        <row r="4">
          <cell r="C4">
            <v>5000</v>
          </cell>
        </row>
        <row r="5">
          <cell r="C5">
            <v>126</v>
          </cell>
        </row>
        <row r="6">
          <cell r="C6">
            <v>126</v>
          </cell>
        </row>
        <row r="7">
          <cell r="C7">
            <v>0.5</v>
          </cell>
        </row>
        <row r="8">
          <cell r="C8">
            <v>0.88300000000000001</v>
          </cell>
        </row>
        <row r="9">
          <cell r="C9">
            <v>8.0000000000000002E-3</v>
          </cell>
        </row>
        <row r="10">
          <cell r="C10">
            <v>2.1999999999999999E-2</v>
          </cell>
        </row>
        <row r="11">
          <cell r="C11">
            <v>31</v>
          </cell>
        </row>
        <row r="12">
          <cell r="C12" t="e">
            <v>#REF!</v>
          </cell>
        </row>
        <row r="13">
          <cell r="C13" t="e">
            <v>#REF!</v>
          </cell>
        </row>
        <row r="14">
          <cell r="C14" t="e">
            <v>#REF!</v>
          </cell>
        </row>
        <row r="15">
          <cell r="C15" t="e">
            <v>#REF!</v>
          </cell>
        </row>
        <row r="16">
          <cell r="C16">
            <v>2.5000000000000001E-4</v>
          </cell>
        </row>
        <row r="17">
          <cell r="C17">
            <v>2.0000000000000001E-4</v>
          </cell>
        </row>
        <row r="18">
          <cell r="C18">
            <v>0.75</v>
          </cell>
        </row>
        <row r="19">
          <cell r="C19">
            <v>250</v>
          </cell>
        </row>
        <row r="20">
          <cell r="C20">
            <v>240</v>
          </cell>
        </row>
        <row r="21">
          <cell r="C21">
            <v>0.1</v>
          </cell>
        </row>
        <row r="22">
          <cell r="C22">
            <v>50</v>
          </cell>
        </row>
        <row r="23">
          <cell r="C23">
            <v>500</v>
          </cell>
        </row>
        <row r="24">
          <cell r="C24">
            <v>750</v>
          </cell>
        </row>
        <row r="25">
          <cell r="C25">
            <v>1000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structions"/>
      <sheetName val="RevisionNotes"/>
      <sheetName val="FC360_Panel"/>
      <sheetName val="C-NET_Module2"/>
      <sheetName val="C-NET_Calc_Module2"/>
      <sheetName val="Panel_comp"/>
      <sheetName val="Panel_values"/>
      <sheetName val="FDnet_Ref"/>
      <sheetName val="FDnet_Calc_Ref"/>
      <sheetName val="FDnet_Constants"/>
    </sheetNames>
    <sheetDataSet>
      <sheetData sheetId="0"/>
      <sheetData sheetId="1"/>
      <sheetData sheetId="2"/>
      <sheetData sheetId="3"/>
      <sheetData sheetId="4"/>
      <sheetData sheetId="5"/>
      <sheetData sheetId="6"/>
      <sheetData sheetId="7"/>
      <sheetData sheetId="8"/>
      <sheetData sheetId="9"/>
      <sheetData sheetId="10">
        <row r="3">
          <cell r="C3">
            <v>3300</v>
          </cell>
        </row>
        <row r="4">
          <cell r="C4">
            <v>5000</v>
          </cell>
        </row>
        <row r="5">
          <cell r="C5">
            <v>126</v>
          </cell>
        </row>
        <row r="6">
          <cell r="C6">
            <v>126</v>
          </cell>
        </row>
        <row r="7">
          <cell r="C7">
            <v>0.5</v>
          </cell>
        </row>
        <row r="8">
          <cell r="C8">
            <v>0.88300000000000001</v>
          </cell>
        </row>
        <row r="9">
          <cell r="C9">
            <v>8.0000000000000002E-3</v>
          </cell>
        </row>
        <row r="10">
          <cell r="C10">
            <v>2.1999999999999999E-2</v>
          </cell>
        </row>
        <row r="11">
          <cell r="C11">
            <v>31</v>
          </cell>
        </row>
        <row r="12">
          <cell r="C12">
            <v>12</v>
          </cell>
        </row>
        <row r="13">
          <cell r="C13">
            <v>12</v>
          </cell>
        </row>
        <row r="14">
          <cell r="C14">
            <v>12</v>
          </cell>
        </row>
        <row r="15">
          <cell r="C15">
            <v>12</v>
          </cell>
        </row>
        <row r="16">
          <cell r="C16">
            <v>2.5000000000000001E-4</v>
          </cell>
        </row>
        <row r="17">
          <cell r="C17">
            <v>2.0000000000000001E-4</v>
          </cell>
        </row>
        <row r="18">
          <cell r="C18">
            <v>0.75</v>
          </cell>
        </row>
        <row r="19">
          <cell r="C19">
            <v>250</v>
          </cell>
        </row>
        <row r="20">
          <cell r="C20">
            <v>240</v>
          </cell>
        </row>
        <row r="21">
          <cell r="C21">
            <v>0.1</v>
          </cell>
        </row>
        <row r="22">
          <cell r="C22">
            <v>50</v>
          </cell>
        </row>
        <row r="23">
          <cell r="C23">
            <v>500</v>
          </cell>
        </row>
        <row r="24">
          <cell r="C24">
            <v>750</v>
          </cell>
        </row>
        <row r="25">
          <cell r="C25">
            <v>1000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4.emf"/><Relationship Id="rId13"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oleObject" Target="../embeddings/Microsoft_Visio_2003-2010_Drawing1.vsd"/><Relationship Id="rId12" Type="http://schemas.openxmlformats.org/officeDocument/2006/relationships/image" Target="../media/image6.emf"/><Relationship Id="rId2" Type="http://schemas.openxmlformats.org/officeDocument/2006/relationships/drawing" Target="../drawings/drawing2.xml"/><Relationship Id="rId1" Type="http://schemas.openxmlformats.org/officeDocument/2006/relationships/printerSettings" Target="../printerSettings/printerSettings7.bin"/><Relationship Id="rId6" Type="http://schemas.openxmlformats.org/officeDocument/2006/relationships/image" Target="../media/image3.emf"/><Relationship Id="rId11" Type="http://schemas.openxmlformats.org/officeDocument/2006/relationships/oleObject" Target="../embeddings/oleObject2.bin"/><Relationship Id="rId5" Type="http://schemas.openxmlformats.org/officeDocument/2006/relationships/oleObject" Target="../embeddings/Microsoft_Visio_2003-2010_Drawing.vsd"/><Relationship Id="rId10" Type="http://schemas.openxmlformats.org/officeDocument/2006/relationships/image" Target="../media/image5.emf"/><Relationship Id="rId4" Type="http://schemas.openxmlformats.org/officeDocument/2006/relationships/vmlDrawing" Target="../drawings/vmlDrawing2.vml"/><Relationship Id="rId9" Type="http://schemas.openxmlformats.org/officeDocument/2006/relationships/oleObject" Target="../embeddings/oleObject1.bin"/><Relationship Id="rId14" Type="http://schemas.openxmlformats.org/officeDocument/2006/relationships/image" Target="../media/image7.emf"/></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vmlDrawing" Target="../drawings/vmlDrawing3.vml"/><Relationship Id="rId7" Type="http://schemas.openxmlformats.org/officeDocument/2006/relationships/ctrlProp" Target="../ctrlProps/ctrlProp3.xml"/><Relationship Id="rId2" Type="http://schemas.openxmlformats.org/officeDocument/2006/relationships/drawing" Target="../drawings/drawing3.xml"/><Relationship Id="rId1" Type="http://schemas.openxmlformats.org/officeDocument/2006/relationships/printerSettings" Target="../printerSettings/printerSettings8.bin"/><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4.vm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3" Type="http://schemas.openxmlformats.org/officeDocument/2006/relationships/control" Target="../activeX/activeX5.xml"/><Relationship Id="rId18" Type="http://schemas.openxmlformats.org/officeDocument/2006/relationships/image" Target="../media/image32.emf"/><Relationship Id="rId26" Type="http://schemas.openxmlformats.org/officeDocument/2006/relationships/image" Target="../media/image36.emf"/><Relationship Id="rId39" Type="http://schemas.openxmlformats.org/officeDocument/2006/relationships/control" Target="../activeX/activeX18.xml"/><Relationship Id="rId21" Type="http://schemas.openxmlformats.org/officeDocument/2006/relationships/control" Target="../activeX/activeX9.xml"/><Relationship Id="rId34" Type="http://schemas.openxmlformats.org/officeDocument/2006/relationships/image" Target="../media/image40.emf"/><Relationship Id="rId42" Type="http://schemas.openxmlformats.org/officeDocument/2006/relationships/image" Target="../media/image44.emf"/><Relationship Id="rId47" Type="http://schemas.openxmlformats.org/officeDocument/2006/relationships/control" Target="../activeX/activeX22.xml"/><Relationship Id="rId50" Type="http://schemas.openxmlformats.org/officeDocument/2006/relationships/image" Target="../media/image48.emf"/><Relationship Id="rId55" Type="http://schemas.openxmlformats.org/officeDocument/2006/relationships/control" Target="../activeX/activeX26.xml"/><Relationship Id="rId7" Type="http://schemas.openxmlformats.org/officeDocument/2006/relationships/control" Target="../activeX/activeX2.xml"/><Relationship Id="rId12" Type="http://schemas.openxmlformats.org/officeDocument/2006/relationships/image" Target="../media/image29.emf"/><Relationship Id="rId17" Type="http://schemas.openxmlformats.org/officeDocument/2006/relationships/control" Target="../activeX/activeX7.xml"/><Relationship Id="rId25" Type="http://schemas.openxmlformats.org/officeDocument/2006/relationships/control" Target="../activeX/activeX11.xml"/><Relationship Id="rId33" Type="http://schemas.openxmlformats.org/officeDocument/2006/relationships/control" Target="../activeX/activeX15.xml"/><Relationship Id="rId38" Type="http://schemas.openxmlformats.org/officeDocument/2006/relationships/image" Target="../media/image42.emf"/><Relationship Id="rId46" Type="http://schemas.openxmlformats.org/officeDocument/2006/relationships/image" Target="../media/image46.emf"/><Relationship Id="rId2" Type="http://schemas.openxmlformats.org/officeDocument/2006/relationships/drawing" Target="../drawings/drawing4.xml"/><Relationship Id="rId16" Type="http://schemas.openxmlformats.org/officeDocument/2006/relationships/image" Target="../media/image31.emf"/><Relationship Id="rId20" Type="http://schemas.openxmlformats.org/officeDocument/2006/relationships/image" Target="../media/image33.emf"/><Relationship Id="rId29" Type="http://schemas.openxmlformats.org/officeDocument/2006/relationships/control" Target="../activeX/activeX13.xml"/><Relationship Id="rId41" Type="http://schemas.openxmlformats.org/officeDocument/2006/relationships/control" Target="../activeX/activeX19.xml"/><Relationship Id="rId54" Type="http://schemas.openxmlformats.org/officeDocument/2006/relationships/image" Target="../media/image50.emf"/><Relationship Id="rId1" Type="http://schemas.openxmlformats.org/officeDocument/2006/relationships/printerSettings" Target="../printerSettings/printerSettings9.bin"/><Relationship Id="rId6" Type="http://schemas.openxmlformats.org/officeDocument/2006/relationships/image" Target="../media/image26.emf"/><Relationship Id="rId11" Type="http://schemas.openxmlformats.org/officeDocument/2006/relationships/control" Target="../activeX/activeX4.xml"/><Relationship Id="rId24" Type="http://schemas.openxmlformats.org/officeDocument/2006/relationships/image" Target="../media/image35.emf"/><Relationship Id="rId32" Type="http://schemas.openxmlformats.org/officeDocument/2006/relationships/image" Target="../media/image39.emf"/><Relationship Id="rId37" Type="http://schemas.openxmlformats.org/officeDocument/2006/relationships/control" Target="../activeX/activeX17.xml"/><Relationship Id="rId40" Type="http://schemas.openxmlformats.org/officeDocument/2006/relationships/image" Target="../media/image43.emf"/><Relationship Id="rId45" Type="http://schemas.openxmlformats.org/officeDocument/2006/relationships/control" Target="../activeX/activeX21.xml"/><Relationship Id="rId53" Type="http://schemas.openxmlformats.org/officeDocument/2006/relationships/control" Target="../activeX/activeX25.xml"/><Relationship Id="rId5" Type="http://schemas.openxmlformats.org/officeDocument/2006/relationships/control" Target="../activeX/activeX1.xml"/><Relationship Id="rId15" Type="http://schemas.openxmlformats.org/officeDocument/2006/relationships/control" Target="../activeX/activeX6.xml"/><Relationship Id="rId23" Type="http://schemas.openxmlformats.org/officeDocument/2006/relationships/control" Target="../activeX/activeX10.xml"/><Relationship Id="rId28" Type="http://schemas.openxmlformats.org/officeDocument/2006/relationships/image" Target="../media/image37.emf"/><Relationship Id="rId36" Type="http://schemas.openxmlformats.org/officeDocument/2006/relationships/image" Target="../media/image41.emf"/><Relationship Id="rId49" Type="http://schemas.openxmlformats.org/officeDocument/2006/relationships/control" Target="../activeX/activeX23.xml"/><Relationship Id="rId57" Type="http://schemas.openxmlformats.org/officeDocument/2006/relationships/comments" Target="../comments2.xml"/><Relationship Id="rId10" Type="http://schemas.openxmlformats.org/officeDocument/2006/relationships/image" Target="../media/image28.emf"/><Relationship Id="rId19" Type="http://schemas.openxmlformats.org/officeDocument/2006/relationships/control" Target="../activeX/activeX8.xml"/><Relationship Id="rId31" Type="http://schemas.openxmlformats.org/officeDocument/2006/relationships/control" Target="../activeX/activeX14.xml"/><Relationship Id="rId44" Type="http://schemas.openxmlformats.org/officeDocument/2006/relationships/image" Target="../media/image45.emf"/><Relationship Id="rId52" Type="http://schemas.openxmlformats.org/officeDocument/2006/relationships/image" Target="../media/image49.emf"/><Relationship Id="rId4" Type="http://schemas.openxmlformats.org/officeDocument/2006/relationships/vmlDrawing" Target="../drawings/vmlDrawing6.vml"/><Relationship Id="rId9" Type="http://schemas.openxmlformats.org/officeDocument/2006/relationships/control" Target="../activeX/activeX3.xml"/><Relationship Id="rId14" Type="http://schemas.openxmlformats.org/officeDocument/2006/relationships/image" Target="../media/image30.emf"/><Relationship Id="rId22" Type="http://schemas.openxmlformats.org/officeDocument/2006/relationships/image" Target="../media/image34.emf"/><Relationship Id="rId27" Type="http://schemas.openxmlformats.org/officeDocument/2006/relationships/control" Target="../activeX/activeX12.xml"/><Relationship Id="rId30" Type="http://schemas.openxmlformats.org/officeDocument/2006/relationships/image" Target="../media/image38.emf"/><Relationship Id="rId35" Type="http://schemas.openxmlformats.org/officeDocument/2006/relationships/control" Target="../activeX/activeX16.xml"/><Relationship Id="rId43" Type="http://schemas.openxmlformats.org/officeDocument/2006/relationships/control" Target="../activeX/activeX20.xml"/><Relationship Id="rId48" Type="http://schemas.openxmlformats.org/officeDocument/2006/relationships/image" Target="../media/image47.emf"/><Relationship Id="rId56" Type="http://schemas.openxmlformats.org/officeDocument/2006/relationships/image" Target="../media/image51.emf"/><Relationship Id="rId8" Type="http://schemas.openxmlformats.org/officeDocument/2006/relationships/image" Target="../media/image27.emf"/><Relationship Id="rId51" Type="http://schemas.openxmlformats.org/officeDocument/2006/relationships/control" Target="../activeX/activeX24.xml"/><Relationship Id="rId3"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vmlDrawing" Target="../drawings/vmlDrawing7.vml"/></Relationships>
</file>

<file path=xl/worksheets/_rels/sheet7.xml.rels><?xml version="1.0" encoding="UTF-8" standalone="yes"?>
<Relationships xmlns="http://schemas.openxmlformats.org/package/2006/relationships"><Relationship Id="rId13" Type="http://schemas.openxmlformats.org/officeDocument/2006/relationships/control" Target="../activeX/activeX31.xml"/><Relationship Id="rId18" Type="http://schemas.openxmlformats.org/officeDocument/2006/relationships/image" Target="../media/image58.emf"/><Relationship Id="rId26" Type="http://schemas.openxmlformats.org/officeDocument/2006/relationships/image" Target="../media/image62.emf"/><Relationship Id="rId39" Type="http://schemas.openxmlformats.org/officeDocument/2006/relationships/control" Target="../activeX/activeX44.xml"/><Relationship Id="rId21" Type="http://schemas.openxmlformats.org/officeDocument/2006/relationships/control" Target="../activeX/activeX35.xml"/><Relationship Id="rId34" Type="http://schemas.openxmlformats.org/officeDocument/2006/relationships/image" Target="../media/image66.emf"/><Relationship Id="rId42" Type="http://schemas.openxmlformats.org/officeDocument/2006/relationships/image" Target="../media/image70.emf"/><Relationship Id="rId47" Type="http://schemas.openxmlformats.org/officeDocument/2006/relationships/control" Target="../activeX/activeX48.xml"/><Relationship Id="rId50" Type="http://schemas.openxmlformats.org/officeDocument/2006/relationships/image" Target="../media/image74.emf"/><Relationship Id="rId55" Type="http://schemas.openxmlformats.org/officeDocument/2006/relationships/control" Target="../activeX/activeX52.xml"/><Relationship Id="rId7" Type="http://schemas.openxmlformats.org/officeDocument/2006/relationships/control" Target="../activeX/activeX28.xml"/><Relationship Id="rId12" Type="http://schemas.openxmlformats.org/officeDocument/2006/relationships/image" Target="../media/image55.emf"/><Relationship Id="rId17" Type="http://schemas.openxmlformats.org/officeDocument/2006/relationships/control" Target="../activeX/activeX33.xml"/><Relationship Id="rId25" Type="http://schemas.openxmlformats.org/officeDocument/2006/relationships/control" Target="../activeX/activeX37.xml"/><Relationship Id="rId33" Type="http://schemas.openxmlformats.org/officeDocument/2006/relationships/control" Target="../activeX/activeX41.xml"/><Relationship Id="rId38" Type="http://schemas.openxmlformats.org/officeDocument/2006/relationships/image" Target="../media/image68.emf"/><Relationship Id="rId46" Type="http://schemas.openxmlformats.org/officeDocument/2006/relationships/image" Target="../media/image72.emf"/><Relationship Id="rId2" Type="http://schemas.openxmlformats.org/officeDocument/2006/relationships/drawing" Target="../drawings/drawing5.xml"/><Relationship Id="rId16" Type="http://schemas.openxmlformats.org/officeDocument/2006/relationships/image" Target="../media/image57.emf"/><Relationship Id="rId20" Type="http://schemas.openxmlformats.org/officeDocument/2006/relationships/image" Target="../media/image59.emf"/><Relationship Id="rId29" Type="http://schemas.openxmlformats.org/officeDocument/2006/relationships/control" Target="../activeX/activeX39.xml"/><Relationship Id="rId41" Type="http://schemas.openxmlformats.org/officeDocument/2006/relationships/control" Target="../activeX/activeX45.xml"/><Relationship Id="rId54" Type="http://schemas.openxmlformats.org/officeDocument/2006/relationships/image" Target="../media/image76.emf"/><Relationship Id="rId1" Type="http://schemas.openxmlformats.org/officeDocument/2006/relationships/printerSettings" Target="../printerSettings/printerSettings13.bin"/><Relationship Id="rId6" Type="http://schemas.openxmlformats.org/officeDocument/2006/relationships/image" Target="../media/image52.emf"/><Relationship Id="rId11" Type="http://schemas.openxmlformats.org/officeDocument/2006/relationships/control" Target="../activeX/activeX30.xml"/><Relationship Id="rId24" Type="http://schemas.openxmlformats.org/officeDocument/2006/relationships/image" Target="../media/image61.emf"/><Relationship Id="rId32" Type="http://schemas.openxmlformats.org/officeDocument/2006/relationships/image" Target="../media/image65.emf"/><Relationship Id="rId37" Type="http://schemas.openxmlformats.org/officeDocument/2006/relationships/control" Target="../activeX/activeX43.xml"/><Relationship Id="rId40" Type="http://schemas.openxmlformats.org/officeDocument/2006/relationships/image" Target="../media/image69.emf"/><Relationship Id="rId45" Type="http://schemas.openxmlformats.org/officeDocument/2006/relationships/control" Target="../activeX/activeX47.xml"/><Relationship Id="rId53" Type="http://schemas.openxmlformats.org/officeDocument/2006/relationships/control" Target="../activeX/activeX51.xml"/><Relationship Id="rId5" Type="http://schemas.openxmlformats.org/officeDocument/2006/relationships/control" Target="../activeX/activeX27.xml"/><Relationship Id="rId15" Type="http://schemas.openxmlformats.org/officeDocument/2006/relationships/control" Target="../activeX/activeX32.xml"/><Relationship Id="rId23" Type="http://schemas.openxmlformats.org/officeDocument/2006/relationships/control" Target="../activeX/activeX36.xml"/><Relationship Id="rId28" Type="http://schemas.openxmlformats.org/officeDocument/2006/relationships/image" Target="../media/image63.emf"/><Relationship Id="rId36" Type="http://schemas.openxmlformats.org/officeDocument/2006/relationships/image" Target="../media/image67.emf"/><Relationship Id="rId49" Type="http://schemas.openxmlformats.org/officeDocument/2006/relationships/control" Target="../activeX/activeX49.xml"/><Relationship Id="rId57" Type="http://schemas.openxmlformats.org/officeDocument/2006/relationships/comments" Target="../comments3.xml"/><Relationship Id="rId10" Type="http://schemas.openxmlformats.org/officeDocument/2006/relationships/image" Target="../media/image54.emf"/><Relationship Id="rId19" Type="http://schemas.openxmlformats.org/officeDocument/2006/relationships/control" Target="../activeX/activeX34.xml"/><Relationship Id="rId31" Type="http://schemas.openxmlformats.org/officeDocument/2006/relationships/control" Target="../activeX/activeX40.xml"/><Relationship Id="rId44" Type="http://schemas.openxmlformats.org/officeDocument/2006/relationships/image" Target="../media/image71.emf"/><Relationship Id="rId52" Type="http://schemas.openxmlformats.org/officeDocument/2006/relationships/image" Target="../media/image75.emf"/><Relationship Id="rId4" Type="http://schemas.openxmlformats.org/officeDocument/2006/relationships/vmlDrawing" Target="../drawings/vmlDrawing9.vml"/><Relationship Id="rId9" Type="http://schemas.openxmlformats.org/officeDocument/2006/relationships/control" Target="../activeX/activeX29.xml"/><Relationship Id="rId14" Type="http://schemas.openxmlformats.org/officeDocument/2006/relationships/image" Target="../media/image56.emf"/><Relationship Id="rId22" Type="http://schemas.openxmlformats.org/officeDocument/2006/relationships/image" Target="../media/image60.emf"/><Relationship Id="rId27" Type="http://schemas.openxmlformats.org/officeDocument/2006/relationships/control" Target="../activeX/activeX38.xml"/><Relationship Id="rId30" Type="http://schemas.openxmlformats.org/officeDocument/2006/relationships/image" Target="../media/image64.emf"/><Relationship Id="rId35" Type="http://schemas.openxmlformats.org/officeDocument/2006/relationships/control" Target="../activeX/activeX42.xml"/><Relationship Id="rId43" Type="http://schemas.openxmlformats.org/officeDocument/2006/relationships/control" Target="../activeX/activeX46.xml"/><Relationship Id="rId48" Type="http://schemas.openxmlformats.org/officeDocument/2006/relationships/image" Target="../media/image73.emf"/><Relationship Id="rId56" Type="http://schemas.openxmlformats.org/officeDocument/2006/relationships/image" Target="../media/image77.emf"/><Relationship Id="rId8" Type="http://schemas.openxmlformats.org/officeDocument/2006/relationships/image" Target="../media/image53.emf"/><Relationship Id="rId51" Type="http://schemas.openxmlformats.org/officeDocument/2006/relationships/control" Target="../activeX/activeX50.xml"/><Relationship Id="rId3" Type="http://schemas.openxmlformats.org/officeDocument/2006/relationships/vmlDrawing" Target="../drawings/vmlDrawing8.v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6.xml"/><Relationship Id="rId1" Type="http://schemas.openxmlformats.org/officeDocument/2006/relationships/printerSettings" Target="../printerSettings/printerSettings14.bin"/><Relationship Id="rId6" Type="http://schemas.openxmlformats.org/officeDocument/2006/relationships/image" Target="../media/image78.emf"/><Relationship Id="rId5" Type="http://schemas.openxmlformats.org/officeDocument/2006/relationships/oleObject" Target="../embeddings/oleObject4.bin"/><Relationship Id="rId4" Type="http://schemas.openxmlformats.org/officeDocument/2006/relationships/vmlDrawing" Target="../drawings/vmlDrawing11.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15.bin"/><Relationship Id="rId5" Type="http://schemas.openxmlformats.org/officeDocument/2006/relationships/comments" Target="../comments4.xml"/><Relationship Id="rId4" Type="http://schemas.openxmlformats.org/officeDocument/2006/relationships/vmlDrawing" Target="../drawings/vmlDrawing1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2">
    <tabColor indexed="46"/>
    <pageSetUpPr autoPageBreaks="0"/>
  </sheetPr>
  <dimension ref="A23:D57"/>
  <sheetViews>
    <sheetView tabSelected="1" zoomScaleNormal="100" zoomScaleSheetLayoutView="75" workbookViewId="0">
      <selection activeCell="E31" sqref="E31"/>
    </sheetView>
  </sheetViews>
  <sheetFormatPr defaultColWidth="11.453125" defaultRowHeight="12.5" x14ac:dyDescent="0.25"/>
  <cols>
    <col min="1" max="3" width="20.54296875" customWidth="1"/>
    <col min="4" max="4" width="26" customWidth="1"/>
  </cols>
  <sheetData>
    <row r="23" spans="1:1" ht="18" x14ac:dyDescent="0.4">
      <c r="A23" s="10" t="s">
        <v>399</v>
      </c>
    </row>
    <row r="24" spans="1:1" ht="18" x14ac:dyDescent="0.4">
      <c r="A24" s="10"/>
    </row>
    <row r="25" spans="1:1" ht="18" x14ac:dyDescent="0.4">
      <c r="A25" s="10" t="s">
        <v>505</v>
      </c>
    </row>
    <row r="27" spans="1:1" ht="18" x14ac:dyDescent="0.4">
      <c r="A27" s="10" t="s">
        <v>482</v>
      </c>
    </row>
    <row r="28" spans="1:1" ht="18" x14ac:dyDescent="0.4">
      <c r="A28" s="10"/>
    </row>
    <row r="29" spans="1:1" x14ac:dyDescent="0.25">
      <c r="A29" s="40" t="s">
        <v>957</v>
      </c>
    </row>
    <row r="56" spans="4:4" ht="15.5" x14ac:dyDescent="0.35">
      <c r="D56" s="11" t="s">
        <v>504</v>
      </c>
    </row>
    <row r="57" spans="4:4" ht="15.5" x14ac:dyDescent="0.35">
      <c r="D57" s="11"/>
    </row>
  </sheetData>
  <dataConsolidate/>
  <customSheetViews>
    <customSheetView guid="{F3915676-A7EF-4017-942F-7C19B6817DD9}" scale="75" printArea="1" showRuler="0">
      <selection activeCell="A29" sqref="A29"/>
      <pageMargins left="0.74803149606299213" right="0.70866141732283472" top="0.78740157480314965" bottom="0.78740157480314965" header="0.51181102362204722" footer="0.51181102362204722"/>
      <pageSetup paperSize="9" orientation="portrait" r:id="rId1"/>
      <headerFooter alignWithMargins="0"/>
    </customSheetView>
    <customSheetView guid="{820A86A5-0D40-4A23-B2DF-8DFC823A4E56}" scale="75" printArea="1" showRuler="0">
      <selection activeCell="A29" sqref="A29"/>
      <pageMargins left="0.74803149606299213" right="0.70866141732283472" top="0.78740157480314965" bottom="0.78740157480314965" header="0.51181102362204722" footer="0.51181102362204722"/>
      <pageSetup paperSize="9" orientation="portrait" r:id="rId2"/>
      <headerFooter alignWithMargins="0"/>
    </customSheetView>
  </customSheetViews>
  <phoneticPr fontId="6" type="noConversion"/>
  <pageMargins left="0.74803149606299213" right="0.70866141732283472" top="0.78740157480314965" bottom="0.78740157480314965" header="0.51181102362204722" footer="0.51181102362204722"/>
  <pageSetup paperSize="9" orientation="portrait" r:id="rId3"/>
  <headerFooter alignWithMargins="0">
    <oddFooter>&amp;LUnrestricted</oddFooter>
  </headerFooter>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6">
    <pageSetUpPr fitToPage="1"/>
  </sheetPr>
  <dimension ref="A1:IV76"/>
  <sheetViews>
    <sheetView view="pageBreakPreview" zoomScaleNormal="100" workbookViewId="0">
      <selection activeCell="A40" sqref="A40"/>
    </sheetView>
  </sheetViews>
  <sheetFormatPr defaultColWidth="11.453125" defaultRowHeight="12.5" x14ac:dyDescent="0.25"/>
  <cols>
    <col min="1" max="1" width="94.453125" style="21" customWidth="1"/>
    <col min="2" max="16384" width="11.453125" style="21"/>
  </cols>
  <sheetData>
    <row r="1" spans="1:256" ht="13.5" thickBot="1" x14ac:dyDescent="0.35">
      <c r="A1" s="20" t="s">
        <v>31</v>
      </c>
      <c r="B1" s="20"/>
      <c r="C1" s="20"/>
      <c r="D1" s="20"/>
      <c r="E1" s="20"/>
      <c r="F1" s="20"/>
      <c r="G1" s="20"/>
      <c r="H1" s="20"/>
    </row>
    <row r="2" spans="1:256" ht="13" x14ac:dyDescent="0.3">
      <c r="A2" s="26"/>
      <c r="B2" s="25"/>
      <c r="C2" s="25"/>
      <c r="D2" s="25"/>
      <c r="E2" s="25"/>
      <c r="F2" s="25"/>
      <c r="G2" s="25"/>
      <c r="H2" s="25"/>
    </row>
    <row r="3" spans="1:256" ht="13" x14ac:dyDescent="0.3">
      <c r="A3" s="29" t="s">
        <v>360</v>
      </c>
      <c r="B3" s="22"/>
      <c r="C3" s="22"/>
      <c r="D3" s="22"/>
      <c r="E3" s="22"/>
      <c r="F3" s="22"/>
      <c r="G3" s="22"/>
    </row>
    <row r="4" spans="1:256" x14ac:dyDescent="0.25">
      <c r="A4" s="22"/>
      <c r="B4" s="22"/>
      <c r="C4" s="22"/>
      <c r="D4" s="22"/>
      <c r="E4" s="22"/>
      <c r="F4" s="22"/>
      <c r="G4" s="22"/>
    </row>
    <row r="5" spans="1:256" x14ac:dyDescent="0.25">
      <c r="A5" s="22" t="s">
        <v>352</v>
      </c>
      <c r="B5" s="22"/>
      <c r="C5" s="22"/>
      <c r="D5" s="22"/>
      <c r="E5" s="22"/>
      <c r="F5" s="22"/>
      <c r="G5" s="22"/>
    </row>
    <row r="6" spans="1:256" x14ac:dyDescent="0.25">
      <c r="A6" s="22"/>
      <c r="B6" s="22"/>
      <c r="C6" s="22"/>
      <c r="D6" s="22"/>
      <c r="E6" s="22"/>
      <c r="F6" s="22"/>
      <c r="G6" s="22"/>
    </row>
    <row r="7" spans="1:256" x14ac:dyDescent="0.25">
      <c r="A7" s="23" t="s">
        <v>32</v>
      </c>
      <c r="B7" s="22"/>
      <c r="C7" s="22"/>
      <c r="D7" s="22"/>
      <c r="E7" s="22"/>
      <c r="F7" s="22"/>
      <c r="G7" s="22"/>
    </row>
    <row r="8" spans="1:256" x14ac:dyDescent="0.25">
      <c r="A8" s="30" t="s">
        <v>361</v>
      </c>
    </row>
    <row r="9" spans="1:256" x14ac:dyDescent="0.25">
      <c r="A9" s="32" t="s">
        <v>390</v>
      </c>
    </row>
    <row r="10" spans="1:256" x14ac:dyDescent="0.25">
      <c r="A10" s="32" t="s">
        <v>387</v>
      </c>
    </row>
    <row r="11" spans="1:256" x14ac:dyDescent="0.25">
      <c r="A11" s="32" t="s">
        <v>391</v>
      </c>
    </row>
    <row r="12" spans="1:256" x14ac:dyDescent="0.25">
      <c r="A12" s="33" t="s">
        <v>392</v>
      </c>
    </row>
    <row r="13" spans="1:256" x14ac:dyDescent="0.25">
      <c r="A13" s="33" t="s">
        <v>393</v>
      </c>
    </row>
    <row r="14" spans="1:256" x14ac:dyDescent="0.25">
      <c r="A14" s="34" t="s">
        <v>394</v>
      </c>
    </row>
    <row r="15" spans="1:256" s="22" customFormat="1" x14ac:dyDescent="0.25">
      <c r="A15" s="34" t="s">
        <v>395</v>
      </c>
      <c r="B15" s="30"/>
      <c r="C15" s="30"/>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30"/>
      <c r="BF15" s="30"/>
      <c r="BG15" s="30"/>
      <c r="BH15" s="30"/>
      <c r="BI15" s="30"/>
      <c r="BJ15" s="30"/>
      <c r="BK15" s="30"/>
      <c r="BL15" s="30"/>
      <c r="BM15" s="30"/>
      <c r="BN15" s="30"/>
      <c r="BO15" s="30"/>
      <c r="BP15" s="30"/>
      <c r="BQ15" s="30"/>
      <c r="BR15" s="30"/>
      <c r="BS15" s="30"/>
      <c r="BT15" s="30"/>
      <c r="BU15" s="30"/>
      <c r="BV15" s="30"/>
      <c r="BW15" s="30"/>
      <c r="BX15" s="30"/>
      <c r="BY15" s="30"/>
      <c r="BZ15" s="30"/>
      <c r="CA15" s="30"/>
      <c r="CB15" s="30"/>
      <c r="CC15" s="30"/>
      <c r="CD15" s="30"/>
      <c r="CE15" s="30"/>
      <c r="CF15" s="30"/>
      <c r="CG15" s="30"/>
      <c r="CH15" s="30"/>
      <c r="CI15" s="30"/>
      <c r="CJ15" s="30"/>
      <c r="CK15" s="30"/>
      <c r="CL15" s="30"/>
      <c r="CM15" s="30"/>
      <c r="CN15" s="30"/>
      <c r="CO15" s="30"/>
      <c r="CP15" s="30"/>
      <c r="CQ15" s="30"/>
      <c r="CR15" s="30"/>
      <c r="CS15" s="30"/>
      <c r="CT15" s="30"/>
      <c r="CU15" s="30"/>
      <c r="CV15" s="30"/>
      <c r="CW15" s="30"/>
      <c r="CX15" s="30"/>
      <c r="CY15" s="30"/>
      <c r="CZ15" s="30"/>
      <c r="DA15" s="30"/>
      <c r="DB15" s="30"/>
      <c r="DC15" s="30"/>
      <c r="DD15" s="30"/>
      <c r="DE15" s="30"/>
      <c r="DF15" s="30"/>
      <c r="DG15" s="30"/>
      <c r="DH15" s="30"/>
      <c r="DI15" s="30"/>
      <c r="DJ15" s="30"/>
      <c r="DK15" s="30"/>
      <c r="DL15" s="30"/>
      <c r="DM15" s="30"/>
      <c r="DN15" s="30"/>
      <c r="DO15" s="30"/>
      <c r="DP15" s="30"/>
      <c r="DQ15" s="30"/>
      <c r="DR15" s="30"/>
      <c r="DS15" s="30"/>
      <c r="DT15" s="30"/>
      <c r="DU15" s="30"/>
      <c r="DV15" s="30"/>
      <c r="DW15" s="30"/>
      <c r="DX15" s="30"/>
      <c r="DY15" s="30"/>
      <c r="DZ15" s="30"/>
      <c r="EA15" s="30"/>
      <c r="EB15" s="30"/>
      <c r="EC15" s="30"/>
      <c r="ED15" s="30"/>
      <c r="EE15" s="30"/>
      <c r="EF15" s="30"/>
      <c r="EG15" s="30"/>
      <c r="EH15" s="30"/>
      <c r="EI15" s="30"/>
      <c r="EJ15" s="30"/>
      <c r="EK15" s="30"/>
      <c r="EL15" s="30"/>
      <c r="EM15" s="30"/>
      <c r="EN15" s="30"/>
      <c r="EO15" s="30"/>
      <c r="EP15" s="30"/>
      <c r="EQ15" s="30"/>
      <c r="ER15" s="30"/>
      <c r="ES15" s="30"/>
      <c r="ET15" s="30"/>
      <c r="EU15" s="30"/>
      <c r="EV15" s="30"/>
      <c r="EW15" s="30"/>
      <c r="EX15" s="30"/>
      <c r="EY15" s="30"/>
      <c r="EZ15" s="30"/>
      <c r="FA15" s="30"/>
      <c r="FB15" s="30"/>
      <c r="FC15" s="30"/>
      <c r="FD15" s="30"/>
      <c r="FE15" s="30"/>
      <c r="FF15" s="30"/>
      <c r="FG15" s="30"/>
      <c r="FH15" s="30"/>
      <c r="FI15" s="30"/>
      <c r="FJ15" s="30"/>
      <c r="FK15" s="30"/>
      <c r="FL15" s="30"/>
      <c r="FM15" s="30"/>
      <c r="FN15" s="30"/>
      <c r="FO15" s="30"/>
      <c r="FP15" s="30"/>
      <c r="FQ15" s="30"/>
      <c r="FR15" s="30"/>
      <c r="FS15" s="30"/>
      <c r="FT15" s="30"/>
      <c r="FU15" s="30"/>
      <c r="FV15" s="30"/>
      <c r="FW15" s="30"/>
      <c r="FX15" s="30"/>
      <c r="FY15" s="30"/>
      <c r="FZ15" s="30"/>
      <c r="GA15" s="30"/>
      <c r="GB15" s="30"/>
      <c r="GC15" s="30"/>
      <c r="GD15" s="30"/>
      <c r="GE15" s="30"/>
      <c r="GF15" s="30"/>
      <c r="GG15" s="30"/>
      <c r="GH15" s="30"/>
      <c r="GI15" s="30"/>
      <c r="GJ15" s="30"/>
      <c r="GK15" s="30"/>
      <c r="GL15" s="30"/>
      <c r="GM15" s="30"/>
      <c r="GN15" s="30"/>
      <c r="GO15" s="30"/>
      <c r="GP15" s="30"/>
      <c r="GQ15" s="30"/>
      <c r="GR15" s="30"/>
      <c r="GS15" s="30"/>
      <c r="GT15" s="30"/>
      <c r="GU15" s="30"/>
      <c r="GV15" s="30"/>
      <c r="GW15" s="30"/>
      <c r="GX15" s="30"/>
      <c r="GY15" s="30"/>
      <c r="GZ15" s="30"/>
      <c r="HA15" s="30"/>
      <c r="HB15" s="30"/>
      <c r="HC15" s="30"/>
      <c r="HD15" s="30"/>
      <c r="HE15" s="30"/>
      <c r="HF15" s="30"/>
      <c r="HG15" s="30"/>
      <c r="HH15" s="30"/>
      <c r="HI15" s="30"/>
      <c r="HJ15" s="30"/>
      <c r="HK15" s="30"/>
      <c r="HL15" s="30"/>
      <c r="HM15" s="30"/>
      <c r="HN15" s="30"/>
      <c r="HO15" s="30"/>
      <c r="HP15" s="30"/>
      <c r="HQ15" s="30"/>
      <c r="HR15" s="30"/>
      <c r="HS15" s="30"/>
      <c r="HT15" s="30"/>
      <c r="HU15" s="30"/>
      <c r="HV15" s="30"/>
      <c r="HW15" s="30"/>
      <c r="HX15" s="30"/>
      <c r="HY15" s="30"/>
      <c r="HZ15" s="30"/>
      <c r="IA15" s="30"/>
      <c r="IB15" s="30"/>
      <c r="IC15" s="30"/>
      <c r="ID15" s="30"/>
      <c r="IE15" s="30"/>
      <c r="IF15" s="30"/>
      <c r="IG15" s="30"/>
      <c r="IH15" s="30"/>
      <c r="II15" s="30"/>
      <c r="IJ15" s="30"/>
      <c r="IK15" s="30"/>
      <c r="IL15" s="30"/>
      <c r="IM15" s="30"/>
      <c r="IN15" s="30"/>
      <c r="IO15" s="30"/>
      <c r="IP15" s="30"/>
      <c r="IQ15" s="30"/>
      <c r="IR15" s="30"/>
      <c r="IS15" s="30"/>
      <c r="IT15" s="30"/>
      <c r="IU15" s="30"/>
      <c r="IV15" s="30"/>
    </row>
    <row r="16" spans="1:256" x14ac:dyDescent="0.25">
      <c r="A16" s="36" t="s">
        <v>396</v>
      </c>
    </row>
    <row r="17" spans="1:8" x14ac:dyDescent="0.25">
      <c r="A17" s="35" t="s">
        <v>389</v>
      </c>
    </row>
    <row r="18" spans="1:8" x14ac:dyDescent="0.25">
      <c r="A18" s="22"/>
      <c r="B18" s="22"/>
      <c r="C18" s="22"/>
      <c r="D18" s="22"/>
      <c r="E18" s="22"/>
      <c r="F18" s="22"/>
      <c r="G18" s="22"/>
    </row>
    <row r="19" spans="1:8" ht="13.5" thickBot="1" x14ac:dyDescent="0.35">
      <c r="A19" s="20" t="s">
        <v>33</v>
      </c>
      <c r="B19" s="20"/>
      <c r="C19" s="20"/>
      <c r="D19" s="20"/>
      <c r="E19" s="20"/>
      <c r="F19" s="20"/>
      <c r="G19" s="20"/>
      <c r="H19" s="20"/>
    </row>
    <row r="20" spans="1:8" x14ac:dyDescent="0.25">
      <c r="A20" s="22"/>
      <c r="B20" s="22"/>
      <c r="C20" s="22"/>
      <c r="D20" s="22"/>
      <c r="E20" s="22"/>
      <c r="F20" s="22"/>
      <c r="G20" s="22"/>
    </row>
    <row r="21" spans="1:8" ht="13" x14ac:dyDescent="0.3">
      <c r="A21" s="29" t="s">
        <v>354</v>
      </c>
      <c r="B21" s="22"/>
      <c r="C21" s="22"/>
      <c r="D21" s="22"/>
      <c r="E21" s="22"/>
      <c r="F21" s="22"/>
      <c r="G21" s="22"/>
    </row>
    <row r="22" spans="1:8" x14ac:dyDescent="0.25">
      <c r="A22" s="22"/>
      <c r="B22" s="22"/>
      <c r="C22" s="22"/>
      <c r="D22" s="22"/>
      <c r="E22" s="22"/>
      <c r="F22" s="22"/>
      <c r="G22" s="22"/>
    </row>
    <row r="23" spans="1:8" x14ac:dyDescent="0.25">
      <c r="A23" s="22" t="s">
        <v>352</v>
      </c>
      <c r="B23" s="22"/>
      <c r="C23" s="22"/>
      <c r="D23" s="22"/>
      <c r="E23" s="22"/>
      <c r="F23" s="22"/>
      <c r="G23" s="22"/>
    </row>
    <row r="24" spans="1:8" x14ac:dyDescent="0.25">
      <c r="A24" s="22"/>
      <c r="B24" s="22"/>
      <c r="C24" s="22"/>
      <c r="D24" s="22"/>
      <c r="E24" s="22"/>
      <c r="F24" s="22"/>
      <c r="G24" s="22"/>
    </row>
    <row r="25" spans="1:8" x14ac:dyDescent="0.25">
      <c r="A25" s="23" t="s">
        <v>32</v>
      </c>
      <c r="B25" s="22"/>
      <c r="C25" s="22"/>
      <c r="D25" s="22"/>
      <c r="E25" s="22"/>
      <c r="F25" s="22"/>
      <c r="G25" s="22"/>
    </row>
    <row r="26" spans="1:8" x14ac:dyDescent="0.25">
      <c r="A26" s="30" t="s">
        <v>356</v>
      </c>
    </row>
    <row r="27" spans="1:8" x14ac:dyDescent="0.25">
      <c r="A27" s="31" t="s">
        <v>355</v>
      </c>
    </row>
    <row r="28" spans="1:8" x14ac:dyDescent="0.25">
      <c r="A28" s="31" t="s">
        <v>357</v>
      </c>
    </row>
    <row r="29" spans="1:8" x14ac:dyDescent="0.25">
      <c r="A29" s="30" t="s">
        <v>358</v>
      </c>
    </row>
    <row r="30" spans="1:8" x14ac:dyDescent="0.25">
      <c r="A30" s="30" t="s">
        <v>359</v>
      </c>
    </row>
    <row r="31" spans="1:8" x14ac:dyDescent="0.25">
      <c r="A31" s="22"/>
      <c r="B31" s="22"/>
      <c r="C31" s="22"/>
      <c r="D31" s="22"/>
      <c r="E31" s="22"/>
      <c r="F31" s="22"/>
      <c r="G31" s="22"/>
    </row>
    <row r="32" spans="1:8" ht="13" x14ac:dyDescent="0.3">
      <c r="A32" s="29" t="s">
        <v>347</v>
      </c>
      <c r="B32" s="22"/>
      <c r="C32" s="22"/>
      <c r="D32" s="22"/>
      <c r="E32" s="22"/>
      <c r="F32" s="22"/>
      <c r="G32" s="22"/>
    </row>
    <row r="33" spans="1:7" x14ac:dyDescent="0.25">
      <c r="A33" s="22"/>
      <c r="B33" s="22"/>
      <c r="C33" s="22"/>
      <c r="D33" s="22"/>
      <c r="E33" s="22"/>
      <c r="F33" s="22"/>
      <c r="G33" s="22"/>
    </row>
    <row r="34" spans="1:7" x14ac:dyDescent="0.25">
      <c r="A34" s="22" t="s">
        <v>352</v>
      </c>
      <c r="B34" s="22"/>
      <c r="C34" s="22"/>
      <c r="D34" s="22"/>
      <c r="E34" s="22"/>
      <c r="F34" s="22"/>
      <c r="G34" s="22"/>
    </row>
    <row r="35" spans="1:7" x14ac:dyDescent="0.25">
      <c r="A35" s="22"/>
      <c r="B35" s="22"/>
      <c r="C35" s="22"/>
      <c r="D35" s="22"/>
      <c r="E35" s="22"/>
      <c r="F35" s="22"/>
      <c r="G35" s="22"/>
    </row>
    <row r="36" spans="1:7" x14ac:dyDescent="0.25">
      <c r="A36" s="23" t="s">
        <v>32</v>
      </c>
      <c r="B36" s="22"/>
      <c r="C36" s="22"/>
      <c r="D36" s="22"/>
      <c r="E36" s="22"/>
      <c r="F36" s="22"/>
      <c r="G36" s="22"/>
    </row>
    <row r="37" spans="1:7" x14ac:dyDescent="0.25">
      <c r="A37" s="30" t="s">
        <v>348</v>
      </c>
    </row>
    <row r="38" spans="1:7" x14ac:dyDescent="0.25">
      <c r="A38" s="30" t="s">
        <v>349</v>
      </c>
    </row>
    <row r="39" spans="1:7" x14ac:dyDescent="0.25">
      <c r="A39" s="22"/>
      <c r="B39" s="22"/>
      <c r="C39" s="22"/>
      <c r="D39" s="22"/>
      <c r="E39" s="22"/>
      <c r="F39" s="22"/>
      <c r="G39" s="22"/>
    </row>
    <row r="40" spans="1:7" ht="13" x14ac:dyDescent="0.3">
      <c r="A40" s="29" t="s">
        <v>344</v>
      </c>
      <c r="B40" s="22"/>
      <c r="C40" s="22"/>
      <c r="D40" s="22"/>
      <c r="E40" s="22"/>
      <c r="F40" s="22"/>
      <c r="G40" s="22"/>
    </row>
    <row r="41" spans="1:7" x14ac:dyDescent="0.25">
      <c r="A41" s="22"/>
      <c r="B41" s="22"/>
      <c r="C41" s="22"/>
      <c r="D41" s="22"/>
      <c r="E41" s="22"/>
      <c r="F41" s="22"/>
      <c r="G41" s="22"/>
    </row>
    <row r="42" spans="1:7" x14ac:dyDescent="0.25">
      <c r="A42" s="22" t="s">
        <v>352</v>
      </c>
      <c r="B42" s="22"/>
      <c r="C42" s="22"/>
      <c r="D42" s="22"/>
      <c r="E42" s="22"/>
      <c r="F42" s="22"/>
      <c r="G42" s="22"/>
    </row>
    <row r="43" spans="1:7" x14ac:dyDescent="0.25">
      <c r="A43" s="22"/>
      <c r="B43" s="22"/>
      <c r="C43" s="22"/>
      <c r="D43" s="22"/>
      <c r="E43" s="22"/>
      <c r="F43" s="22"/>
      <c r="G43" s="22"/>
    </row>
    <row r="44" spans="1:7" x14ac:dyDescent="0.25">
      <c r="A44" s="23" t="s">
        <v>32</v>
      </c>
      <c r="B44" s="22"/>
      <c r="C44" s="22"/>
      <c r="D44" s="22"/>
      <c r="E44" s="22"/>
      <c r="F44" s="22"/>
      <c r="G44" s="22"/>
    </row>
    <row r="45" spans="1:7" x14ac:dyDescent="0.25">
      <c r="A45" s="30" t="s">
        <v>342</v>
      </c>
      <c r="B45" s="22"/>
      <c r="C45" s="22"/>
      <c r="D45" s="22"/>
      <c r="E45" s="22"/>
      <c r="F45" s="22"/>
      <c r="G45" s="22"/>
    </row>
    <row r="46" spans="1:7" x14ac:dyDescent="0.25">
      <c r="A46" s="31" t="s">
        <v>345</v>
      </c>
      <c r="B46" s="22"/>
      <c r="C46" s="22"/>
      <c r="D46" s="22"/>
      <c r="E46" s="22"/>
      <c r="F46" s="22"/>
      <c r="G46" s="22"/>
    </row>
    <row r="47" spans="1:7" x14ac:dyDescent="0.25">
      <c r="A47" s="31" t="s">
        <v>346</v>
      </c>
      <c r="B47" s="22"/>
      <c r="C47" s="22"/>
      <c r="D47" s="22"/>
      <c r="E47" s="22"/>
      <c r="F47" s="22"/>
      <c r="G47" s="22"/>
    </row>
    <row r="48" spans="1:7" x14ac:dyDescent="0.25">
      <c r="A48" s="30" t="s">
        <v>343</v>
      </c>
      <c r="B48" s="22"/>
      <c r="C48" s="22"/>
      <c r="D48" s="22"/>
      <c r="E48" s="22"/>
      <c r="F48" s="22"/>
      <c r="G48" s="22"/>
    </row>
    <row r="49" spans="1:7" x14ac:dyDescent="0.25">
      <c r="A49" s="22"/>
      <c r="B49" s="22"/>
      <c r="C49" s="22"/>
      <c r="D49" s="22"/>
      <c r="E49" s="22"/>
      <c r="F49" s="22"/>
      <c r="G49" s="22"/>
    </row>
    <row r="50" spans="1:7" x14ac:dyDescent="0.25">
      <c r="A50" s="22"/>
      <c r="B50" s="22"/>
      <c r="C50" s="22"/>
      <c r="D50" s="22"/>
      <c r="E50" s="22"/>
      <c r="F50" s="22"/>
      <c r="G50" s="22"/>
    </row>
    <row r="51" spans="1:7" ht="13" x14ac:dyDescent="0.3">
      <c r="A51" s="29" t="s">
        <v>350</v>
      </c>
      <c r="B51" s="22"/>
      <c r="C51" s="22"/>
      <c r="D51" s="22"/>
      <c r="E51" s="22"/>
      <c r="F51" s="22"/>
      <c r="G51" s="22"/>
    </row>
    <row r="52" spans="1:7" x14ac:dyDescent="0.25">
      <c r="A52" s="22"/>
      <c r="B52" s="22"/>
      <c r="C52" s="22"/>
      <c r="D52" s="22"/>
      <c r="E52" s="22"/>
      <c r="F52" s="22"/>
      <c r="G52" s="22"/>
    </row>
    <row r="53" spans="1:7" x14ac:dyDescent="0.25">
      <c r="A53" s="22" t="s">
        <v>352</v>
      </c>
      <c r="B53" s="22"/>
      <c r="C53" s="22"/>
      <c r="D53" s="22"/>
      <c r="E53" s="22"/>
      <c r="F53" s="22"/>
      <c r="G53" s="22"/>
    </row>
    <row r="54" spans="1:7" x14ac:dyDescent="0.25">
      <c r="A54" s="22"/>
      <c r="B54" s="22"/>
      <c r="C54" s="22"/>
      <c r="D54" s="22"/>
      <c r="E54" s="22"/>
      <c r="F54" s="22"/>
      <c r="G54" s="22"/>
    </row>
    <row r="55" spans="1:7" x14ac:dyDescent="0.25">
      <c r="A55" s="23" t="s">
        <v>32</v>
      </c>
      <c r="B55" s="22"/>
      <c r="C55" s="22"/>
      <c r="D55" s="22"/>
      <c r="E55" s="22"/>
      <c r="F55" s="22"/>
      <c r="G55" s="22"/>
    </row>
    <row r="56" spans="1:7" x14ac:dyDescent="0.25">
      <c r="A56" s="30" t="s">
        <v>333</v>
      </c>
      <c r="B56" s="22"/>
      <c r="C56" s="22"/>
      <c r="D56" s="22"/>
      <c r="E56" s="22"/>
      <c r="F56" s="22"/>
      <c r="G56" s="22"/>
    </row>
    <row r="57" spans="1:7" x14ac:dyDescent="0.25">
      <c r="A57" s="31" t="s">
        <v>328</v>
      </c>
      <c r="B57" s="22"/>
      <c r="C57" s="22"/>
      <c r="D57" s="22"/>
      <c r="E57" s="22"/>
      <c r="F57" s="22"/>
      <c r="G57" s="22"/>
    </row>
    <row r="58" spans="1:7" x14ac:dyDescent="0.25">
      <c r="A58" s="31" t="s">
        <v>329</v>
      </c>
      <c r="B58" s="22"/>
      <c r="C58" s="22"/>
      <c r="D58" s="22"/>
      <c r="E58" s="22"/>
      <c r="F58" s="22"/>
      <c r="G58" s="22"/>
    </row>
    <row r="59" spans="1:7" x14ac:dyDescent="0.25">
      <c r="A59" s="31" t="s">
        <v>330</v>
      </c>
      <c r="B59" s="22"/>
      <c r="C59" s="22"/>
      <c r="D59" s="22"/>
      <c r="E59" s="22"/>
      <c r="F59" s="22"/>
      <c r="G59" s="22"/>
    </row>
    <row r="60" spans="1:7" x14ac:dyDescent="0.25">
      <c r="A60" s="31" t="s">
        <v>331</v>
      </c>
      <c r="B60" s="22"/>
      <c r="C60" s="22"/>
      <c r="D60" s="22"/>
      <c r="E60" s="22"/>
      <c r="F60" s="22"/>
      <c r="G60" s="22"/>
    </row>
    <row r="61" spans="1:7" x14ac:dyDescent="0.25">
      <c r="A61" s="31" t="s">
        <v>332</v>
      </c>
      <c r="B61" s="22"/>
      <c r="C61" s="22"/>
      <c r="D61" s="22"/>
      <c r="E61" s="22"/>
      <c r="F61" s="22"/>
      <c r="G61" s="22"/>
    </row>
    <row r="62" spans="1:7" x14ac:dyDescent="0.25">
      <c r="A62" s="30" t="s">
        <v>337</v>
      </c>
      <c r="B62" s="22"/>
      <c r="C62" s="22"/>
      <c r="D62" s="22"/>
      <c r="E62" s="22"/>
      <c r="F62" s="22"/>
      <c r="G62" s="22"/>
    </row>
    <row r="63" spans="1:7" x14ac:dyDescent="0.25">
      <c r="A63" s="30" t="s">
        <v>338</v>
      </c>
      <c r="B63" s="22"/>
      <c r="C63" s="22"/>
      <c r="D63" s="22"/>
      <c r="E63" s="22"/>
      <c r="F63" s="22"/>
      <c r="G63" s="22"/>
    </row>
    <row r="64" spans="1:7" x14ac:dyDescent="0.25">
      <c r="A64" s="22"/>
      <c r="B64" s="22"/>
      <c r="C64" s="22"/>
      <c r="D64" s="22"/>
      <c r="E64" s="22"/>
      <c r="F64" s="22"/>
      <c r="G64" s="22"/>
    </row>
    <row r="65" spans="1:7" x14ac:dyDescent="0.25">
      <c r="A65" s="22"/>
      <c r="B65" s="22"/>
      <c r="C65" s="22"/>
      <c r="D65" s="22"/>
      <c r="E65" s="22"/>
      <c r="F65" s="22"/>
      <c r="G65" s="22"/>
    </row>
    <row r="66" spans="1:7" ht="13" x14ac:dyDescent="0.3">
      <c r="A66" s="29" t="s">
        <v>34</v>
      </c>
      <c r="B66" s="22"/>
      <c r="C66" s="22"/>
      <c r="D66" s="22"/>
      <c r="E66" s="22"/>
      <c r="F66" s="22"/>
      <c r="G66" s="22"/>
    </row>
    <row r="67" spans="1:7" x14ac:dyDescent="0.25">
      <c r="A67" s="22"/>
      <c r="B67" s="22"/>
      <c r="C67" s="22"/>
      <c r="D67" s="22"/>
      <c r="E67" s="22"/>
      <c r="F67" s="22"/>
      <c r="G67" s="22"/>
    </row>
    <row r="68" spans="1:7" x14ac:dyDescent="0.25">
      <c r="A68" s="22" t="s">
        <v>352</v>
      </c>
      <c r="B68" s="22"/>
      <c r="C68" s="22"/>
      <c r="D68" s="22"/>
      <c r="E68" s="22"/>
      <c r="F68" s="22"/>
      <c r="G68" s="22"/>
    </row>
    <row r="69" spans="1:7" x14ac:dyDescent="0.25">
      <c r="A69" s="22"/>
      <c r="B69" s="22"/>
      <c r="C69" s="22"/>
      <c r="D69" s="22"/>
      <c r="E69" s="22"/>
      <c r="F69" s="22"/>
      <c r="G69" s="22"/>
    </row>
    <row r="70" spans="1:7" x14ac:dyDescent="0.25">
      <c r="A70" s="23" t="s">
        <v>32</v>
      </c>
      <c r="B70" s="22"/>
      <c r="C70" s="22"/>
      <c r="D70" s="22"/>
      <c r="E70" s="22"/>
      <c r="F70" s="22"/>
      <c r="G70" s="22"/>
    </row>
    <row r="71" spans="1:7" x14ac:dyDescent="0.25">
      <c r="A71" s="24" t="s">
        <v>35</v>
      </c>
      <c r="B71" s="22"/>
      <c r="C71" s="22"/>
      <c r="D71" s="22"/>
      <c r="E71" s="22"/>
      <c r="F71" s="22"/>
      <c r="G71" s="22"/>
    </row>
    <row r="72" spans="1:7" x14ac:dyDescent="0.25">
      <c r="A72" s="22"/>
      <c r="B72" s="22"/>
      <c r="C72" s="22"/>
      <c r="D72" s="22"/>
      <c r="E72" s="22"/>
      <c r="F72" s="22"/>
      <c r="G72" s="22"/>
    </row>
    <row r="73" spans="1:7" x14ac:dyDescent="0.25">
      <c r="A73" s="22"/>
      <c r="B73" s="22"/>
      <c r="C73" s="22"/>
      <c r="D73" s="22"/>
      <c r="E73" s="22"/>
      <c r="F73" s="22"/>
      <c r="G73" s="22"/>
    </row>
    <row r="74" spans="1:7" x14ac:dyDescent="0.25">
      <c r="A74" s="22"/>
      <c r="B74" s="22"/>
      <c r="C74" s="22"/>
      <c r="D74" s="22"/>
      <c r="E74" s="22"/>
      <c r="F74" s="22"/>
      <c r="G74" s="22"/>
    </row>
    <row r="75" spans="1:7" x14ac:dyDescent="0.25">
      <c r="A75" s="22"/>
      <c r="B75" s="22"/>
      <c r="C75" s="22"/>
      <c r="D75" s="22"/>
      <c r="E75" s="22"/>
      <c r="F75" s="22"/>
      <c r="G75" s="22"/>
    </row>
    <row r="76" spans="1:7" x14ac:dyDescent="0.25">
      <c r="A76" s="22"/>
      <c r="B76" s="22"/>
      <c r="C76" s="22"/>
      <c r="D76" s="22"/>
      <c r="E76" s="22"/>
      <c r="F76" s="22"/>
      <c r="G76" s="22"/>
    </row>
  </sheetData>
  <dataConsolidate/>
  <customSheetViews>
    <customSheetView guid="{F3915676-A7EF-4017-942F-7C19B6817DD9}" showPageBreaks="1" fitToPage="1" printArea="1" state="hidden" view="pageBreakPreview" showRuler="0">
      <selection activeCell="A40" sqref="A40"/>
      <pageMargins left="0.78740157480314965" right="0.78740157480314965" top="0.78740157480314965" bottom="0.98425196850393704" header="0.51181102362204722" footer="0.51181102362204722"/>
      <pageSetup paperSize="9" scale="82" orientation="portrait" r:id="rId1"/>
      <headerFooter alignWithMargins="0"/>
    </customSheetView>
    <customSheetView guid="{820A86A5-0D40-4A23-B2DF-8DFC823A4E56}" showPageBreaks="1" fitToPage="1" printArea="1" view="pageBreakPreview" showRuler="0">
      <selection activeCell="A16" sqref="A16"/>
      <pageMargins left="0.78740157480314965" right="0.78740157480314965" top="0.78740157480314965" bottom="0.98425196850393704" header="0.51181102362204722" footer="0.51181102362204722"/>
      <pageSetup paperSize="9" scale="82" orientation="portrait" r:id="rId2"/>
      <headerFooter alignWithMargins="0"/>
    </customSheetView>
  </customSheetViews>
  <phoneticPr fontId="6" type="noConversion"/>
  <pageMargins left="0.78740157480314965" right="0.78740157480314965" top="0.78740157480314965" bottom="0.98425196850393704" header="0.51181102362204722" footer="0.51181102362204722"/>
  <pageSetup paperSize="9" scale="82" orientation="portrait" r:id="rId3"/>
  <headerFooter alignWithMargins="0">
    <oddFooter>&amp;LUnrestricted</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52BA2-D75A-4031-B127-10BC2B10B60B}">
  <sheetPr codeName="Tabelle3">
    <tabColor indexed="46"/>
    <pageSetUpPr autoPageBreaks="0"/>
  </sheetPr>
  <dimension ref="A1:M358"/>
  <sheetViews>
    <sheetView zoomScaleNormal="100" zoomScaleSheetLayoutView="75" workbookViewId="0"/>
  </sheetViews>
  <sheetFormatPr defaultColWidth="11.453125" defaultRowHeight="12.5" x14ac:dyDescent="0.25"/>
  <cols>
    <col min="1" max="1" width="129.54296875" style="350" customWidth="1"/>
    <col min="2" max="2" width="11.453125" style="350"/>
    <col min="3" max="3" width="17.81640625" style="350" customWidth="1"/>
    <col min="4" max="16384" width="11.453125" style="350"/>
  </cols>
  <sheetData>
    <row r="1" spans="1:1" ht="20" x14ac:dyDescent="0.4">
      <c r="A1" s="637" t="s">
        <v>924</v>
      </c>
    </row>
    <row r="3" spans="1:1" ht="15.5" x14ac:dyDescent="0.35">
      <c r="A3" s="638" t="s">
        <v>0</v>
      </c>
    </row>
    <row r="4" spans="1:1" x14ac:dyDescent="0.25">
      <c r="A4" s="480" t="s">
        <v>925</v>
      </c>
    </row>
    <row r="5" spans="1:1" x14ac:dyDescent="0.25">
      <c r="A5" s="360"/>
    </row>
    <row r="6" spans="1:1" ht="15.5" x14ac:dyDescent="0.35">
      <c r="A6" s="638" t="s">
        <v>2</v>
      </c>
    </row>
    <row r="7" spans="1:1" ht="25" x14ac:dyDescent="0.25">
      <c r="A7" s="480" t="s">
        <v>926</v>
      </c>
    </row>
    <row r="8" spans="1:1" ht="25" x14ac:dyDescent="0.25">
      <c r="A8" s="480" t="s">
        <v>539</v>
      </c>
    </row>
    <row r="9" spans="1:1" x14ac:dyDescent="0.25">
      <c r="A9" s="480"/>
    </row>
    <row r="10" spans="1:1" ht="17.5" x14ac:dyDescent="0.35">
      <c r="A10" s="639" t="s">
        <v>484</v>
      </c>
    </row>
    <row r="11" spans="1:1" x14ac:dyDescent="0.25">
      <c r="A11" s="640" t="s">
        <v>503</v>
      </c>
    </row>
    <row r="12" spans="1:1" ht="13" x14ac:dyDescent="0.25">
      <c r="A12" s="641" t="s">
        <v>468</v>
      </c>
    </row>
    <row r="17" spans="1:1" ht="28" customHeight="1" x14ac:dyDescent="0.25"/>
    <row r="22" spans="1:1" ht="28" customHeight="1" x14ac:dyDescent="0.25"/>
    <row r="23" spans="1:1" ht="13" x14ac:dyDescent="0.3">
      <c r="A23" s="415" t="s">
        <v>469</v>
      </c>
    </row>
    <row r="24" spans="1:1" ht="50" x14ac:dyDescent="0.25">
      <c r="A24" s="640" t="s">
        <v>927</v>
      </c>
    </row>
    <row r="25" spans="1:1" ht="13" x14ac:dyDescent="0.3">
      <c r="A25" s="415" t="s">
        <v>507</v>
      </c>
    </row>
    <row r="26" spans="1:1" ht="25.5" x14ac:dyDescent="0.25">
      <c r="A26" s="640" t="s">
        <v>928</v>
      </c>
    </row>
    <row r="28" spans="1:1" ht="13" x14ac:dyDescent="0.25">
      <c r="A28" s="641" t="s">
        <v>929</v>
      </c>
    </row>
    <row r="29" spans="1:1" x14ac:dyDescent="0.25">
      <c r="A29" s="350" t="s">
        <v>930</v>
      </c>
    </row>
    <row r="39" spans="1:1" ht="13" x14ac:dyDescent="0.3">
      <c r="A39" s="415" t="s">
        <v>470</v>
      </c>
    </row>
    <row r="40" spans="1:1" x14ac:dyDescent="0.25">
      <c r="A40" s="640" t="s">
        <v>485</v>
      </c>
    </row>
    <row r="41" spans="1:1" ht="37.5" x14ac:dyDescent="0.25">
      <c r="A41" s="640" t="s">
        <v>486</v>
      </c>
    </row>
    <row r="43" spans="1:1" ht="13" x14ac:dyDescent="0.3">
      <c r="A43" s="415" t="s">
        <v>471</v>
      </c>
    </row>
    <row r="44" spans="1:1" x14ac:dyDescent="0.25">
      <c r="A44" s="640" t="s">
        <v>517</v>
      </c>
    </row>
    <row r="45" spans="1:1" ht="25" x14ac:dyDescent="0.25">
      <c r="A45" s="640" t="s">
        <v>804</v>
      </c>
    </row>
    <row r="47" spans="1:1" ht="13" x14ac:dyDescent="0.25">
      <c r="A47" s="641" t="s">
        <v>472</v>
      </c>
    </row>
    <row r="58" spans="1:1" ht="14.15" customHeight="1" x14ac:dyDescent="0.25"/>
    <row r="59" spans="1:1" ht="13" x14ac:dyDescent="0.3">
      <c r="A59" s="415" t="s">
        <v>473</v>
      </c>
    </row>
    <row r="60" spans="1:1" x14ac:dyDescent="0.25">
      <c r="A60" s="640" t="s">
        <v>518</v>
      </c>
    </row>
    <row r="61" spans="1:1" x14ac:dyDescent="0.25">
      <c r="A61" s="640"/>
    </row>
    <row r="62" spans="1:1" ht="13" x14ac:dyDescent="0.3">
      <c r="A62" s="415" t="s">
        <v>474</v>
      </c>
    </row>
    <row r="63" spans="1:1" x14ac:dyDescent="0.25">
      <c r="A63" s="640" t="s">
        <v>519</v>
      </c>
    </row>
    <row r="65" spans="1:1" ht="13" x14ac:dyDescent="0.3">
      <c r="A65" s="415" t="s">
        <v>475</v>
      </c>
    </row>
    <row r="66" spans="1:1" x14ac:dyDescent="0.25">
      <c r="A66" s="640" t="s">
        <v>520</v>
      </c>
    </row>
    <row r="68" spans="1:1" ht="13" x14ac:dyDescent="0.3">
      <c r="A68" s="415" t="s">
        <v>476</v>
      </c>
    </row>
    <row r="69" spans="1:1" ht="25.5" x14ac:dyDescent="0.25">
      <c r="A69" s="640" t="s">
        <v>487</v>
      </c>
    </row>
    <row r="70" spans="1:1" ht="38" x14ac:dyDescent="0.25">
      <c r="A70" s="640" t="s">
        <v>488</v>
      </c>
    </row>
    <row r="71" spans="1:1" ht="86.5" customHeight="1" x14ac:dyDescent="0.25">
      <c r="A71" s="640"/>
    </row>
    <row r="72" spans="1:1" ht="2.15" customHeight="1" x14ac:dyDescent="0.25">
      <c r="A72" s="640"/>
    </row>
    <row r="73" spans="1:1" ht="25.5" x14ac:dyDescent="0.25">
      <c r="A73" s="640" t="s">
        <v>931</v>
      </c>
    </row>
    <row r="74" spans="1:1" ht="37.5" x14ac:dyDescent="0.25">
      <c r="A74" s="648" t="s">
        <v>932</v>
      </c>
    </row>
    <row r="75" spans="1:1" x14ac:dyDescent="0.25">
      <c r="A75" s="640" t="s">
        <v>933</v>
      </c>
    </row>
    <row r="76" spans="1:1" ht="13" x14ac:dyDescent="0.3">
      <c r="A76" s="649"/>
    </row>
    <row r="78" spans="1:1" ht="13" x14ac:dyDescent="0.25">
      <c r="A78" s="641" t="s">
        <v>538</v>
      </c>
    </row>
    <row r="104" spans="1:1" ht="39.75" customHeight="1" x14ac:dyDescent="0.25"/>
    <row r="105" spans="1:1" ht="13" x14ac:dyDescent="0.3">
      <c r="A105" s="415" t="s">
        <v>477</v>
      </c>
    </row>
    <row r="106" spans="1:1" x14ac:dyDescent="0.25">
      <c r="A106" s="350" t="s">
        <v>478</v>
      </c>
    </row>
    <row r="108" spans="1:1" ht="13" x14ac:dyDescent="0.3">
      <c r="A108" s="415" t="s">
        <v>521</v>
      </c>
    </row>
    <row r="109" spans="1:1" ht="25.5" x14ac:dyDescent="0.25">
      <c r="A109" s="642" t="s">
        <v>489</v>
      </c>
    </row>
    <row r="112" spans="1:1" x14ac:dyDescent="0.25">
      <c r="A112" s="350" t="s">
        <v>805</v>
      </c>
    </row>
    <row r="113" spans="1:1" ht="25.5" x14ac:dyDescent="0.25">
      <c r="A113" s="640" t="s">
        <v>934</v>
      </c>
    </row>
    <row r="114" spans="1:1" ht="25" x14ac:dyDescent="0.25">
      <c r="A114" s="640" t="s">
        <v>806</v>
      </c>
    </row>
    <row r="116" spans="1:1" ht="13" x14ac:dyDescent="0.3">
      <c r="A116" s="415" t="s">
        <v>522</v>
      </c>
    </row>
    <row r="117" spans="1:1" ht="25.5" x14ac:dyDescent="0.25">
      <c r="A117" s="642" t="s">
        <v>936</v>
      </c>
    </row>
    <row r="118" spans="1:1" ht="25.5" x14ac:dyDescent="0.25">
      <c r="A118" s="640" t="s">
        <v>935</v>
      </c>
    </row>
    <row r="119" spans="1:1" ht="25.5" x14ac:dyDescent="0.25">
      <c r="A119" s="640" t="s">
        <v>479</v>
      </c>
    </row>
    <row r="120" spans="1:1" ht="38" x14ac:dyDescent="0.25">
      <c r="A120" s="640" t="s">
        <v>490</v>
      </c>
    </row>
    <row r="121" spans="1:1" ht="25" x14ac:dyDescent="0.25">
      <c r="A121" s="640" t="s">
        <v>480</v>
      </c>
    </row>
    <row r="123" spans="1:1" ht="13" x14ac:dyDescent="0.3">
      <c r="A123" s="415" t="s">
        <v>523</v>
      </c>
    </row>
    <row r="124" spans="1:1" x14ac:dyDescent="0.25">
      <c r="A124" s="640" t="s">
        <v>491</v>
      </c>
    </row>
    <row r="126" spans="1:1" x14ac:dyDescent="0.25">
      <c r="A126" s="480"/>
    </row>
    <row r="127" spans="1:1" ht="17.5" x14ac:dyDescent="0.35">
      <c r="A127" s="639" t="s">
        <v>937</v>
      </c>
    </row>
    <row r="128" spans="1:1" x14ac:dyDescent="0.25">
      <c r="A128" s="350" t="s">
        <v>541</v>
      </c>
    </row>
    <row r="129" spans="1:1" ht="13" x14ac:dyDescent="0.25">
      <c r="A129" s="641" t="s">
        <v>1</v>
      </c>
    </row>
    <row r="130" spans="1:1" ht="13" x14ac:dyDescent="0.25">
      <c r="A130" s="641" t="s">
        <v>807</v>
      </c>
    </row>
    <row r="131" spans="1:1" ht="13" x14ac:dyDescent="0.25">
      <c r="A131" s="641"/>
    </row>
    <row r="132" spans="1:1" ht="335.15" customHeight="1" x14ac:dyDescent="0.25">
      <c r="A132" s="641"/>
    </row>
    <row r="133" spans="1:1" s="42" customFormat="1" x14ac:dyDescent="0.25"/>
    <row r="134" spans="1:1" s="42" customFormat="1" x14ac:dyDescent="0.25">
      <c r="A134" s="47" t="s">
        <v>808</v>
      </c>
    </row>
    <row r="135" spans="1:1" s="42" customFormat="1" ht="13" x14ac:dyDescent="0.3">
      <c r="A135" s="44" t="s">
        <v>553</v>
      </c>
    </row>
    <row r="136" spans="1:1" s="42" customFormat="1" ht="13" x14ac:dyDescent="0.3">
      <c r="A136" s="48" t="s">
        <v>554</v>
      </c>
    </row>
    <row r="137" spans="1:1" s="42" customFormat="1" ht="13" x14ac:dyDescent="0.3">
      <c r="A137" s="44" t="s">
        <v>555</v>
      </c>
    </row>
    <row r="138" spans="1:1" ht="13" x14ac:dyDescent="0.25">
      <c r="A138" s="641"/>
    </row>
    <row r="139" spans="1:1" s="42" customFormat="1" x14ac:dyDescent="0.25">
      <c r="A139" s="47" t="s">
        <v>809</v>
      </c>
    </row>
    <row r="140" spans="1:1" s="42" customFormat="1" x14ac:dyDescent="0.25">
      <c r="A140" s="92" t="s">
        <v>938</v>
      </c>
    </row>
    <row r="141" spans="1:1" s="42" customFormat="1" ht="1.5" customHeight="1" x14ac:dyDescent="0.25">
      <c r="A141" s="47"/>
    </row>
    <row r="142" spans="1:1" ht="1.5" customHeight="1" x14ac:dyDescent="0.25">
      <c r="A142" s="641"/>
    </row>
    <row r="143" spans="1:1" ht="1.5" customHeight="1" x14ac:dyDescent="0.25">
      <c r="A143" s="358"/>
    </row>
    <row r="144" spans="1:1" ht="1.5" customHeight="1" x14ac:dyDescent="0.25">
      <c r="A144" s="358"/>
    </row>
    <row r="145" spans="1:13" ht="13" x14ac:dyDescent="0.25">
      <c r="A145" s="641" t="s">
        <v>810</v>
      </c>
    </row>
    <row r="146" spans="1:13" x14ac:dyDescent="0.25">
      <c r="A146" s="350" t="s">
        <v>811</v>
      </c>
    </row>
    <row r="147" spans="1:13" ht="25" x14ac:dyDescent="0.25">
      <c r="A147" s="92" t="s">
        <v>812</v>
      </c>
    </row>
    <row r="148" spans="1:13" ht="1" customHeight="1" x14ac:dyDescent="0.25">
      <c r="M148" s="640"/>
    </row>
    <row r="149" spans="1:13" ht="1.5" customHeight="1" x14ac:dyDescent="0.25"/>
    <row r="150" spans="1:13" ht="1.5" hidden="1" customHeight="1" x14ac:dyDescent="0.25"/>
    <row r="151" spans="1:13" ht="1.5" hidden="1" customHeight="1" x14ac:dyDescent="0.25"/>
    <row r="152" spans="1:13" ht="1.5" hidden="1" customHeight="1" x14ac:dyDescent="0.25"/>
    <row r="153" spans="1:13" ht="1.5" hidden="1" customHeight="1" x14ac:dyDescent="0.25"/>
    <row r="154" spans="1:13" ht="1.5" hidden="1" customHeight="1" x14ac:dyDescent="0.25"/>
    <row r="155" spans="1:13" ht="1.5" hidden="1" customHeight="1" x14ac:dyDescent="0.25"/>
    <row r="156" spans="1:13" ht="1.5" hidden="1" customHeight="1" x14ac:dyDescent="0.25"/>
    <row r="157" spans="1:13" ht="1.5" hidden="1" customHeight="1" x14ac:dyDescent="0.25">
      <c r="C157" s="356"/>
    </row>
    <row r="158" spans="1:13" ht="1.5" hidden="1" customHeight="1" x14ac:dyDescent="0.25">
      <c r="C158" s="356"/>
    </row>
    <row r="159" spans="1:13" ht="1.5" hidden="1" customHeight="1" x14ac:dyDescent="0.25">
      <c r="C159" s="356"/>
    </row>
    <row r="160" spans="1:13" ht="1.5" hidden="1" customHeight="1" x14ac:dyDescent="0.25">
      <c r="C160" s="643"/>
    </row>
    <row r="161" spans="1:3" ht="1.5" hidden="1" customHeight="1" x14ac:dyDescent="0.25">
      <c r="C161" s="643"/>
    </row>
    <row r="162" spans="1:3" ht="1.5" hidden="1" customHeight="1" x14ac:dyDescent="0.25">
      <c r="C162" s="643"/>
    </row>
    <row r="163" spans="1:3" ht="1.5" hidden="1" customHeight="1" x14ac:dyDescent="0.25">
      <c r="C163" s="643"/>
    </row>
    <row r="164" spans="1:3" ht="1.5" hidden="1" customHeight="1" x14ac:dyDescent="0.25">
      <c r="C164" s="643"/>
    </row>
    <row r="165" spans="1:3" ht="1.5" hidden="1" customHeight="1" x14ac:dyDescent="0.25">
      <c r="C165" s="643"/>
    </row>
    <row r="166" spans="1:3" ht="1.5" hidden="1" customHeight="1" x14ac:dyDescent="0.25">
      <c r="C166" s="643"/>
    </row>
    <row r="167" spans="1:3" ht="1.5" customHeight="1" x14ac:dyDescent="0.25"/>
    <row r="168" spans="1:3" ht="37.5" x14ac:dyDescent="0.25">
      <c r="A168" s="640" t="s">
        <v>939</v>
      </c>
    </row>
    <row r="169" spans="1:3" ht="13" x14ac:dyDescent="0.3">
      <c r="A169" s="640"/>
      <c r="B169" s="353"/>
    </row>
    <row r="170" spans="1:3" ht="13" x14ac:dyDescent="0.25">
      <c r="A170" s="641" t="s">
        <v>813</v>
      </c>
    </row>
    <row r="171" spans="1:3" ht="276" customHeight="1" x14ac:dyDescent="0.25">
      <c r="A171" s="641"/>
    </row>
    <row r="172" spans="1:3" ht="13" x14ac:dyDescent="0.25">
      <c r="A172" s="644" t="s">
        <v>814</v>
      </c>
    </row>
    <row r="173" spans="1:3" s="42" customFormat="1" ht="19.5" customHeight="1" x14ac:dyDescent="0.25">
      <c r="A173" s="92" t="s">
        <v>815</v>
      </c>
    </row>
    <row r="174" spans="1:3" ht="46.5" customHeight="1" x14ac:dyDescent="0.25">
      <c r="A174" s="480" t="s">
        <v>940</v>
      </c>
      <c r="B174" s="355"/>
    </row>
    <row r="175" spans="1:3" ht="2.15" customHeight="1" x14ac:dyDescent="0.25">
      <c r="A175" s="480"/>
      <c r="B175" s="355"/>
    </row>
    <row r="176" spans="1:3" ht="2.15" customHeight="1" x14ac:dyDescent="0.25">
      <c r="A176" s="480"/>
    </row>
    <row r="177" spans="1:1" ht="2.15" customHeight="1" x14ac:dyDescent="0.25">
      <c r="A177" s="480"/>
    </row>
    <row r="178" spans="1:1" ht="2.15" customHeight="1" x14ac:dyDescent="0.25">
      <c r="A178" s="480"/>
    </row>
    <row r="179" spans="1:1" ht="2.15" customHeight="1" x14ac:dyDescent="0.25">
      <c r="A179" s="480"/>
    </row>
    <row r="180" spans="1:1" ht="2.15" customHeight="1" x14ac:dyDescent="0.25">
      <c r="A180" s="480"/>
    </row>
    <row r="181" spans="1:1" ht="13" x14ac:dyDescent="0.3">
      <c r="A181" s="642" t="s">
        <v>816</v>
      </c>
    </row>
    <row r="182" spans="1:1" x14ac:dyDescent="0.25">
      <c r="A182" s="350" t="s">
        <v>492</v>
      </c>
    </row>
    <row r="198" spans="1:1" ht="61" customHeight="1" x14ac:dyDescent="0.25"/>
    <row r="200" spans="1:1" x14ac:dyDescent="0.25">
      <c r="A200" s="640" t="s">
        <v>493</v>
      </c>
    </row>
    <row r="201" spans="1:1" ht="37.5" x14ac:dyDescent="0.25">
      <c r="A201" s="640" t="s">
        <v>941</v>
      </c>
    </row>
    <row r="202" spans="1:1" x14ac:dyDescent="0.25">
      <c r="A202" s="640"/>
    </row>
    <row r="203" spans="1:1" ht="13" x14ac:dyDescent="0.3">
      <c r="A203" s="642" t="s">
        <v>817</v>
      </c>
    </row>
    <row r="204" spans="1:1" ht="62.5" x14ac:dyDescent="0.25">
      <c r="A204" s="640" t="s">
        <v>818</v>
      </c>
    </row>
    <row r="221" spans="1:1" ht="79" customHeight="1" x14ac:dyDescent="0.25"/>
    <row r="222" spans="1:1" ht="1.5" customHeight="1" x14ac:dyDescent="0.25"/>
    <row r="223" spans="1:1" x14ac:dyDescent="0.25">
      <c r="A223" s="350" t="s">
        <v>463</v>
      </c>
    </row>
    <row r="224" spans="1:1" ht="37.5" x14ac:dyDescent="0.25">
      <c r="A224" s="640" t="s">
        <v>942</v>
      </c>
    </row>
    <row r="226" spans="1:1" ht="13" x14ac:dyDescent="0.3">
      <c r="A226" s="642" t="s">
        <v>524</v>
      </c>
    </row>
    <row r="227" spans="1:1" ht="25" x14ac:dyDescent="0.25">
      <c r="A227" s="640" t="s">
        <v>494</v>
      </c>
    </row>
    <row r="233" spans="1:1" ht="50" x14ac:dyDescent="0.25">
      <c r="A233" s="640" t="s">
        <v>544</v>
      </c>
    </row>
    <row r="235" spans="1:1" ht="13" x14ac:dyDescent="0.3">
      <c r="A235" s="642" t="s">
        <v>525</v>
      </c>
    </row>
    <row r="236" spans="1:1" ht="25" x14ac:dyDescent="0.25">
      <c r="A236" s="640" t="s">
        <v>464</v>
      </c>
    </row>
    <row r="237" spans="1:1" x14ac:dyDescent="0.25">
      <c r="A237" s="350" t="s">
        <v>465</v>
      </c>
    </row>
    <row r="240" spans="1:1" x14ac:dyDescent="0.25">
      <c r="A240" s="350" t="s">
        <v>466</v>
      </c>
    </row>
    <row r="244" spans="1:1" ht="13" x14ac:dyDescent="0.25">
      <c r="A244" s="644" t="s">
        <v>819</v>
      </c>
    </row>
    <row r="245" spans="1:1" ht="129.65" customHeight="1" x14ac:dyDescent="0.25">
      <c r="A245" s="644"/>
    </row>
    <row r="246" spans="1:1" x14ac:dyDescent="0.25">
      <c r="A246" s="645" t="s">
        <v>820</v>
      </c>
    </row>
    <row r="247" spans="1:1" ht="13" x14ac:dyDescent="0.3">
      <c r="A247" s="646" t="s">
        <v>821</v>
      </c>
    </row>
    <row r="248" spans="1:1" ht="13" x14ac:dyDescent="0.3">
      <c r="A248" s="646" t="s">
        <v>822</v>
      </c>
    </row>
    <row r="249" spans="1:1" ht="1.5" hidden="1" customHeight="1" x14ac:dyDescent="0.25">
      <c r="A249" s="646"/>
    </row>
    <row r="250" spans="1:1" ht="1.5" hidden="1" customHeight="1" x14ac:dyDescent="0.25">
      <c r="A250" s="646"/>
    </row>
    <row r="251" spans="1:1" ht="1.5" hidden="1" customHeight="1" x14ac:dyDescent="0.25">
      <c r="A251" s="646"/>
    </row>
    <row r="252" spans="1:1" ht="1.5" hidden="1" customHeight="1" x14ac:dyDescent="0.25">
      <c r="A252" s="646"/>
    </row>
    <row r="253" spans="1:1" ht="1.5" hidden="1" customHeight="1" x14ac:dyDescent="0.25">
      <c r="A253" s="646"/>
    </row>
    <row r="254" spans="1:1" ht="1.5" hidden="1" customHeight="1" x14ac:dyDescent="0.25">
      <c r="A254" s="646"/>
    </row>
    <row r="255" spans="1:1" ht="1.5" customHeight="1" x14ac:dyDescent="0.25">
      <c r="A255" s="646"/>
    </row>
    <row r="256" spans="1:1" ht="1.5" customHeight="1" x14ac:dyDescent="0.25">
      <c r="A256" s="646"/>
    </row>
    <row r="257" spans="1:1" ht="13" x14ac:dyDescent="0.3">
      <c r="A257" s="642" t="s">
        <v>526</v>
      </c>
    </row>
    <row r="258" spans="1:1" ht="51.5" x14ac:dyDescent="0.25">
      <c r="A258" s="640" t="s">
        <v>823</v>
      </c>
    </row>
    <row r="259" spans="1:1" x14ac:dyDescent="0.25">
      <c r="A259" s="640"/>
    </row>
    <row r="260" spans="1:1" x14ac:dyDescent="0.25">
      <c r="A260" s="640"/>
    </row>
    <row r="261" spans="1:1" x14ac:dyDescent="0.25">
      <c r="A261" s="640"/>
    </row>
    <row r="262" spans="1:1" x14ac:dyDescent="0.25">
      <c r="A262" s="640"/>
    </row>
    <row r="263" spans="1:1" x14ac:dyDescent="0.25">
      <c r="A263" s="640"/>
    </row>
    <row r="264" spans="1:1" x14ac:dyDescent="0.25">
      <c r="A264" s="640"/>
    </row>
    <row r="265" spans="1:1" x14ac:dyDescent="0.25">
      <c r="A265" s="640"/>
    </row>
    <row r="266" spans="1:1" x14ac:dyDescent="0.25">
      <c r="A266" s="640"/>
    </row>
    <row r="267" spans="1:1" x14ac:dyDescent="0.25">
      <c r="A267" s="640"/>
    </row>
    <row r="268" spans="1:1" x14ac:dyDescent="0.25">
      <c r="A268" s="640"/>
    </row>
    <row r="269" spans="1:1" x14ac:dyDescent="0.25">
      <c r="A269" s="640"/>
    </row>
    <row r="270" spans="1:1" x14ac:dyDescent="0.25">
      <c r="A270" s="640"/>
    </row>
    <row r="271" spans="1:1" x14ac:dyDescent="0.25">
      <c r="A271" s="640"/>
    </row>
    <row r="272" spans="1:1" x14ac:dyDescent="0.25">
      <c r="A272" s="640"/>
    </row>
    <row r="273" spans="1:1" ht="13" x14ac:dyDescent="0.3">
      <c r="A273" s="642" t="s">
        <v>527</v>
      </c>
    </row>
    <row r="274" spans="1:1" ht="77.5" x14ac:dyDescent="0.25">
      <c r="A274" s="640" t="s">
        <v>863</v>
      </c>
    </row>
    <row r="275" spans="1:1" ht="13" x14ac:dyDescent="0.3">
      <c r="A275" s="642"/>
    </row>
    <row r="276" spans="1:1" ht="13" x14ac:dyDescent="0.3">
      <c r="A276" s="642"/>
    </row>
    <row r="277" spans="1:1" ht="13" x14ac:dyDescent="0.3">
      <c r="A277" s="642"/>
    </row>
    <row r="278" spans="1:1" ht="13" x14ac:dyDescent="0.3">
      <c r="A278" s="642"/>
    </row>
    <row r="279" spans="1:1" ht="13" x14ac:dyDescent="0.3">
      <c r="A279" s="642"/>
    </row>
    <row r="280" spans="1:1" ht="13" x14ac:dyDescent="0.3">
      <c r="A280" s="642"/>
    </row>
    <row r="281" spans="1:1" ht="13" x14ac:dyDescent="0.3">
      <c r="A281" s="642"/>
    </row>
    <row r="282" spans="1:1" ht="13" x14ac:dyDescent="0.3">
      <c r="A282" s="642"/>
    </row>
    <row r="283" spans="1:1" ht="13" x14ac:dyDescent="0.3">
      <c r="A283" s="642"/>
    </row>
    <row r="284" spans="1:1" ht="13" x14ac:dyDescent="0.3">
      <c r="A284" s="642"/>
    </row>
    <row r="285" spans="1:1" ht="13" x14ac:dyDescent="0.3">
      <c r="A285" s="642"/>
    </row>
    <row r="286" spans="1:1" ht="13" x14ac:dyDescent="0.3">
      <c r="A286" s="642"/>
    </row>
    <row r="287" spans="1:1" ht="13" x14ac:dyDescent="0.3">
      <c r="A287" s="642"/>
    </row>
    <row r="289" spans="1:1" ht="13" x14ac:dyDescent="0.25">
      <c r="A289" s="641" t="s">
        <v>824</v>
      </c>
    </row>
    <row r="290" spans="1:1" x14ac:dyDescent="0.25">
      <c r="A290" s="350" t="s">
        <v>943</v>
      </c>
    </row>
    <row r="291" spans="1:1" x14ac:dyDescent="0.25">
      <c r="A291" s="350" t="s">
        <v>944</v>
      </c>
    </row>
    <row r="295" spans="1:1" ht="34" customHeight="1" x14ac:dyDescent="0.25"/>
    <row r="296" spans="1:1" ht="30" customHeight="1" x14ac:dyDescent="0.25"/>
    <row r="297" spans="1:1" ht="3" customHeight="1" x14ac:dyDescent="0.25"/>
    <row r="298" spans="1:1" ht="3" customHeight="1" x14ac:dyDescent="0.25"/>
    <row r="299" spans="1:1" ht="3" customHeight="1" x14ac:dyDescent="0.25"/>
    <row r="300" spans="1:1" ht="3" hidden="1" customHeight="1" x14ac:dyDescent="0.25"/>
    <row r="301" spans="1:1" ht="3" hidden="1" customHeight="1" x14ac:dyDescent="0.25"/>
    <row r="302" spans="1:1" ht="3" hidden="1" customHeight="1" x14ac:dyDescent="0.25"/>
    <row r="303" spans="1:1" ht="3" hidden="1" customHeight="1" x14ac:dyDescent="0.25">
      <c r="A303" s="640"/>
    </row>
    <row r="304" spans="1:1" ht="3" hidden="1" customHeight="1" x14ac:dyDescent="0.25"/>
    <row r="305" spans="1:1" ht="3" hidden="1" customHeight="1" x14ac:dyDescent="0.25"/>
    <row r="306" spans="1:1" ht="3" hidden="1" customHeight="1" x14ac:dyDescent="0.25"/>
    <row r="307" spans="1:1" ht="3" hidden="1" customHeight="1" x14ac:dyDescent="0.25"/>
    <row r="308" spans="1:1" ht="3" hidden="1" customHeight="1" x14ac:dyDescent="0.25"/>
    <row r="309" spans="1:1" ht="2.15" hidden="1" customHeight="1" x14ac:dyDescent="0.25"/>
    <row r="310" spans="1:1" ht="13" x14ac:dyDescent="0.3">
      <c r="A310" s="415" t="s">
        <v>825</v>
      </c>
    </row>
    <row r="311" spans="1:1" ht="25.5" x14ac:dyDescent="0.25">
      <c r="A311" s="647" t="s">
        <v>826</v>
      </c>
    </row>
    <row r="312" spans="1:1" ht="25.5" x14ac:dyDescent="0.25">
      <c r="A312" s="647" t="s">
        <v>827</v>
      </c>
    </row>
    <row r="313" spans="1:1" ht="25" x14ac:dyDescent="0.25">
      <c r="A313" s="640" t="s">
        <v>828</v>
      </c>
    </row>
    <row r="314" spans="1:1" ht="13" x14ac:dyDescent="0.3">
      <c r="A314" s="415"/>
    </row>
    <row r="315" spans="1:1" ht="13" x14ac:dyDescent="0.3">
      <c r="A315" s="415" t="s">
        <v>829</v>
      </c>
    </row>
    <row r="316" spans="1:1" ht="121.5" customHeight="1" x14ac:dyDescent="0.3">
      <c r="A316" s="415"/>
    </row>
    <row r="317" spans="1:1" ht="25.5" x14ac:dyDescent="0.25">
      <c r="A317" s="642" t="s">
        <v>945</v>
      </c>
    </row>
    <row r="318" spans="1:1" ht="25.5" x14ac:dyDescent="0.25">
      <c r="A318" s="642" t="s">
        <v>830</v>
      </c>
    </row>
    <row r="319" spans="1:1" ht="25.5" x14ac:dyDescent="0.25">
      <c r="A319" s="642" t="s">
        <v>831</v>
      </c>
    </row>
    <row r="320" spans="1:1" ht="25" x14ac:dyDescent="0.25">
      <c r="A320" s="640" t="s">
        <v>832</v>
      </c>
    </row>
    <row r="321" spans="1:1" ht="5.5" customHeight="1" x14ac:dyDescent="0.3">
      <c r="A321" s="642"/>
    </row>
    <row r="322" spans="1:1" ht="5.5" customHeight="1" x14ac:dyDescent="0.3">
      <c r="A322" s="642"/>
    </row>
    <row r="323" spans="1:1" ht="13" x14ac:dyDescent="0.3">
      <c r="A323" s="642" t="s">
        <v>833</v>
      </c>
    </row>
    <row r="324" spans="1:1" ht="93" customHeight="1" x14ac:dyDescent="0.3">
      <c r="A324" s="642"/>
    </row>
    <row r="325" spans="1:1" ht="2.15" customHeight="1" x14ac:dyDescent="0.25">
      <c r="A325" s="640"/>
    </row>
    <row r="326" spans="1:1" ht="2.15" customHeight="1" x14ac:dyDescent="0.3">
      <c r="A326" s="642"/>
    </row>
    <row r="327" spans="1:1" ht="2.15" customHeight="1" x14ac:dyDescent="0.3">
      <c r="A327" s="642"/>
    </row>
    <row r="328" spans="1:1" ht="2.15" customHeight="1" x14ac:dyDescent="0.25">
      <c r="A328" s="640"/>
    </row>
    <row r="329" spans="1:1" ht="2.15" customHeight="1" x14ac:dyDescent="0.3">
      <c r="A329" s="642"/>
    </row>
    <row r="330" spans="1:1" ht="13" x14ac:dyDescent="0.3">
      <c r="A330" s="415" t="s">
        <v>834</v>
      </c>
    </row>
    <row r="331" spans="1:1" ht="227.5" customHeight="1" x14ac:dyDescent="0.3">
      <c r="A331" s="415"/>
    </row>
    <row r="332" spans="1:1" ht="29.15" customHeight="1" x14ac:dyDescent="0.25">
      <c r="A332" s="642" t="s">
        <v>946</v>
      </c>
    </row>
    <row r="333" spans="1:1" x14ac:dyDescent="0.25">
      <c r="A333" s="640"/>
    </row>
    <row r="334" spans="1:1" ht="25.5" x14ac:dyDescent="0.25">
      <c r="A334" s="642" t="s">
        <v>835</v>
      </c>
    </row>
    <row r="335" spans="1:1" ht="25.5" x14ac:dyDescent="0.25">
      <c r="A335" s="642" t="s">
        <v>836</v>
      </c>
    </row>
    <row r="336" spans="1:1" ht="25" x14ac:dyDescent="0.25">
      <c r="A336" s="640" t="s">
        <v>947</v>
      </c>
    </row>
    <row r="338" spans="1:1" ht="25.5" x14ac:dyDescent="0.25">
      <c r="A338" s="640" t="s">
        <v>837</v>
      </c>
    </row>
    <row r="339" spans="1:1" ht="25.5" x14ac:dyDescent="0.25">
      <c r="A339" s="642" t="s">
        <v>948</v>
      </c>
    </row>
    <row r="340" spans="1:1" ht="25" x14ac:dyDescent="0.25">
      <c r="A340" s="640" t="s">
        <v>838</v>
      </c>
    </row>
    <row r="341" spans="1:1" ht="25.5" x14ac:dyDescent="0.25">
      <c r="A341" s="640" t="s">
        <v>839</v>
      </c>
    </row>
    <row r="342" spans="1:1" ht="25.5" x14ac:dyDescent="0.25">
      <c r="A342" s="640" t="s">
        <v>840</v>
      </c>
    </row>
    <row r="343" spans="1:1" ht="25" x14ac:dyDescent="0.25">
      <c r="A343" s="640" t="s">
        <v>841</v>
      </c>
    </row>
    <row r="345" spans="1:1" ht="13" x14ac:dyDescent="0.3">
      <c r="A345" s="415" t="s">
        <v>467</v>
      </c>
    </row>
    <row r="346" spans="1:1" x14ac:dyDescent="0.25">
      <c r="A346" s="640" t="s">
        <v>842</v>
      </c>
    </row>
    <row r="347" spans="1:1" ht="1.5" customHeight="1" x14ac:dyDescent="0.3">
      <c r="A347" s="415"/>
    </row>
    <row r="348" spans="1:1" ht="1.5" customHeight="1" x14ac:dyDescent="0.25"/>
    <row r="349" spans="1:1" ht="1.5" customHeight="1" x14ac:dyDescent="0.25"/>
    <row r="350" spans="1:1" ht="1.5" customHeight="1" x14ac:dyDescent="0.25"/>
    <row r="351" spans="1:1" ht="1.5" customHeight="1" x14ac:dyDescent="0.25"/>
    <row r="352" spans="1:1" ht="1.5" customHeight="1" x14ac:dyDescent="0.25"/>
    <row r="353" spans="1:1" ht="1.5" customHeight="1" x14ac:dyDescent="0.25"/>
    <row r="354" spans="1:1" ht="1.5" customHeight="1" x14ac:dyDescent="0.25"/>
    <row r="355" spans="1:1" ht="1.5" customHeight="1" x14ac:dyDescent="0.25"/>
    <row r="356" spans="1:1" ht="1.5" customHeight="1" x14ac:dyDescent="0.25"/>
    <row r="357" spans="1:1" ht="15.5" x14ac:dyDescent="0.35">
      <c r="A357" s="638" t="s">
        <v>481</v>
      </c>
    </row>
    <row r="358" spans="1:1" ht="62.5" x14ac:dyDescent="0.25">
      <c r="A358" s="640" t="s">
        <v>495</v>
      </c>
    </row>
  </sheetData>
  <dataConsolidate/>
  <phoneticPr fontId="31" type="noConversion"/>
  <pageMargins left="0.74803149606299213" right="0.70866141732283472" top="0.78740157480314965" bottom="0.78740157480314965" header="0.51181102362204722" footer="0.51181102362204722"/>
  <pageSetup paperSize="9" orientation="portrait" r:id="rId1"/>
  <headerFooter alignWithMargins="0">
    <oddHeader>&amp;L&amp;G&amp;RFX2010 Sinteso Quantities Tool</oddHeader>
    <oddFooter>&amp;R&amp;F
&amp;D&amp;LUnrestricted  Building Technologies
Fire Safety + Security Products</oddFooter>
  </headerFooter>
  <drawing r:id="rId2"/>
  <legacyDrawing r:id="rId3"/>
  <legacyDrawingHF r:id="rId4"/>
  <oleObjects>
    <mc:AlternateContent xmlns:mc="http://schemas.openxmlformats.org/markup-compatibility/2006">
      <mc:Choice Requires="x14">
        <oleObject progId="Visio" shapeId="2649089" r:id="rId5">
          <objectPr defaultSize="0" autoPict="0" r:id="rId6">
            <anchor moveWithCells="1">
              <from>
                <xdr:col>0</xdr:col>
                <xdr:colOff>69850</xdr:colOff>
                <xdr:row>182</xdr:row>
                <xdr:rowOff>114300</xdr:rowOff>
              </from>
              <to>
                <xdr:col>0</xdr:col>
                <xdr:colOff>9023350</xdr:colOff>
                <xdr:row>198</xdr:row>
                <xdr:rowOff>114300</xdr:rowOff>
              </to>
            </anchor>
          </objectPr>
        </oleObject>
      </mc:Choice>
      <mc:Fallback>
        <oleObject progId="Visio" shapeId="2649089" r:id="rId5"/>
      </mc:Fallback>
    </mc:AlternateContent>
    <mc:AlternateContent xmlns:mc="http://schemas.openxmlformats.org/markup-compatibility/2006">
      <mc:Choice Requires="x14">
        <oleObject progId="Visio.Drawing.11" shapeId="2649090" r:id="rId7">
          <objectPr defaultSize="0" autoPict="0" r:id="rId8">
            <anchor moveWithCells="1">
              <from>
                <xdr:col>0</xdr:col>
                <xdr:colOff>69850</xdr:colOff>
                <xdr:row>204</xdr:row>
                <xdr:rowOff>95250</xdr:rowOff>
              </from>
              <to>
                <xdr:col>1</xdr:col>
                <xdr:colOff>12700</xdr:colOff>
                <xdr:row>222</xdr:row>
                <xdr:rowOff>0</xdr:rowOff>
              </to>
            </anchor>
          </objectPr>
        </oleObject>
      </mc:Choice>
      <mc:Fallback>
        <oleObject progId="Visio.Drawing.11" shapeId="2649090" r:id="rId7"/>
      </mc:Fallback>
    </mc:AlternateContent>
    <mc:AlternateContent xmlns:mc="http://schemas.openxmlformats.org/markup-compatibility/2006">
      <mc:Choice Requires="x14">
        <oleObject progId="Equation.3" shapeId="2649091" r:id="rId9">
          <objectPr defaultSize="0" autoPict="0" r:id="rId10">
            <anchor moveWithCells="1">
              <from>
                <xdr:col>0</xdr:col>
                <xdr:colOff>241300</xdr:colOff>
                <xdr:row>227</xdr:row>
                <xdr:rowOff>127000</xdr:rowOff>
              </from>
              <to>
                <xdr:col>0</xdr:col>
                <xdr:colOff>1803400</xdr:colOff>
                <xdr:row>231</xdr:row>
                <xdr:rowOff>38100</xdr:rowOff>
              </to>
            </anchor>
          </objectPr>
        </oleObject>
      </mc:Choice>
      <mc:Fallback>
        <oleObject progId="Equation.3" shapeId="2649091" r:id="rId9"/>
      </mc:Fallback>
    </mc:AlternateContent>
    <mc:AlternateContent xmlns:mc="http://schemas.openxmlformats.org/markup-compatibility/2006">
      <mc:Choice Requires="x14">
        <oleObject progId="Equation.3" shapeId="2649092" r:id="rId11">
          <objectPr defaultSize="0" autoPict="0" r:id="rId12">
            <anchor moveWithCells="1">
              <from>
                <xdr:col>0</xdr:col>
                <xdr:colOff>241300</xdr:colOff>
                <xdr:row>237</xdr:row>
                <xdr:rowOff>50800</xdr:rowOff>
              </from>
              <to>
                <xdr:col>0</xdr:col>
                <xdr:colOff>850900</xdr:colOff>
                <xdr:row>238</xdr:row>
                <xdr:rowOff>88900</xdr:rowOff>
              </to>
            </anchor>
          </objectPr>
        </oleObject>
      </mc:Choice>
      <mc:Fallback>
        <oleObject progId="Equation.3" shapeId="2649092" r:id="rId11"/>
      </mc:Fallback>
    </mc:AlternateContent>
    <mc:AlternateContent xmlns:mc="http://schemas.openxmlformats.org/markup-compatibility/2006">
      <mc:Choice Requires="x14">
        <oleObject progId="Equation.3" shapeId="2649093" r:id="rId13">
          <objectPr defaultSize="0" autoPict="0" r:id="rId14">
            <anchor moveWithCells="1">
              <from>
                <xdr:col>0</xdr:col>
                <xdr:colOff>171450</xdr:colOff>
                <xdr:row>240</xdr:row>
                <xdr:rowOff>19050</xdr:rowOff>
              </from>
              <to>
                <xdr:col>0</xdr:col>
                <xdr:colOff>1727200</xdr:colOff>
                <xdr:row>241</xdr:row>
                <xdr:rowOff>107950</xdr:rowOff>
              </to>
            </anchor>
          </objectPr>
        </oleObject>
      </mc:Choice>
      <mc:Fallback>
        <oleObject progId="Equation.3" shapeId="2649093" r:id="rId13"/>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F0AEFD-4AC1-4517-94F0-E951CE6C90BA}">
  <sheetPr codeName="Tabelle8">
    <tabColor indexed="15"/>
    <pageSetUpPr autoPageBreaks="0" fitToPage="1"/>
  </sheetPr>
  <dimension ref="A1:BW583"/>
  <sheetViews>
    <sheetView zoomScaleNormal="100" zoomScaleSheetLayoutView="75" workbookViewId="0"/>
  </sheetViews>
  <sheetFormatPr defaultColWidth="11.453125" defaultRowHeight="12.5" x14ac:dyDescent="0.25"/>
  <cols>
    <col min="1" max="1" width="2.54296875" style="350" customWidth="1"/>
    <col min="2" max="2" width="42.54296875" style="350" customWidth="1"/>
    <col min="3" max="3" width="17.453125" style="350" customWidth="1"/>
    <col min="4" max="4" width="10.54296875" style="350" customWidth="1"/>
    <col min="5" max="5" width="11.54296875" style="350" customWidth="1"/>
    <col min="6" max="6" width="12.54296875" style="350" customWidth="1"/>
    <col min="7" max="7" width="10.54296875" style="350" customWidth="1"/>
    <col min="8" max="8" width="12.54296875" style="350" customWidth="1"/>
    <col min="9" max="9" width="10.54296875" style="350" customWidth="1"/>
    <col min="10" max="10" width="49.7265625" style="350" customWidth="1"/>
    <col min="11" max="11" width="2.54296875" style="350" customWidth="1"/>
    <col min="12" max="75" width="11.453125" style="350" customWidth="1"/>
    <col min="76" max="16384" width="11.453125" style="350"/>
  </cols>
  <sheetData>
    <row r="1" spans="1:10" ht="18" x14ac:dyDescent="0.4">
      <c r="A1" s="352"/>
      <c r="B1" s="352" t="s">
        <v>949</v>
      </c>
      <c r="C1" s="352"/>
      <c r="D1" s="352"/>
      <c r="E1" s="352"/>
    </row>
    <row r="3" spans="1:10" ht="13" x14ac:dyDescent="0.3">
      <c r="B3" s="353" t="s">
        <v>2</v>
      </c>
      <c r="C3" s="353"/>
      <c r="D3" s="353"/>
      <c r="E3" s="353"/>
    </row>
    <row r="4" spans="1:10" x14ac:dyDescent="0.25">
      <c r="B4" s="350" t="s">
        <v>950</v>
      </c>
    </row>
    <row r="5" spans="1:10" x14ac:dyDescent="0.25">
      <c r="B5" s="354" t="s">
        <v>545</v>
      </c>
      <c r="C5" s="355"/>
      <c r="D5" s="355"/>
      <c r="E5" s="355"/>
    </row>
    <row r="6" spans="1:10" x14ac:dyDescent="0.25">
      <c r="B6" s="354" t="s">
        <v>546</v>
      </c>
      <c r="C6" s="355"/>
      <c r="D6" s="355"/>
      <c r="E6" s="355"/>
    </row>
    <row r="7" spans="1:10" ht="13" x14ac:dyDescent="0.3">
      <c r="B7" s="353" t="s">
        <v>1</v>
      </c>
    </row>
    <row r="8" spans="1:10" ht="13" x14ac:dyDescent="0.3">
      <c r="B8" s="356" t="s">
        <v>547</v>
      </c>
      <c r="C8" s="353"/>
      <c r="D8" s="353"/>
      <c r="E8" s="353"/>
    </row>
    <row r="9" spans="1:10" x14ac:dyDescent="0.25">
      <c r="B9" s="356" t="s">
        <v>462</v>
      </c>
      <c r="C9" s="354"/>
      <c r="D9" s="354"/>
      <c r="E9" s="354"/>
    </row>
    <row r="10" spans="1:10" x14ac:dyDescent="0.25">
      <c r="B10" s="356" t="s">
        <v>802</v>
      </c>
      <c r="C10" s="356"/>
      <c r="D10" s="357"/>
      <c r="E10" s="357"/>
      <c r="J10" s="358"/>
    </row>
    <row r="11" spans="1:10" x14ac:dyDescent="0.25">
      <c r="B11" s="356" t="s">
        <v>548</v>
      </c>
      <c r="C11" s="351"/>
      <c r="D11" s="351"/>
      <c r="E11" s="351"/>
      <c r="J11" s="358"/>
    </row>
    <row r="12" spans="1:10" x14ac:dyDescent="0.25">
      <c r="B12" s="356" t="s">
        <v>496</v>
      </c>
      <c r="C12" s="354"/>
      <c r="D12" s="354"/>
      <c r="E12" s="354"/>
      <c r="J12" s="358"/>
    </row>
    <row r="13" spans="1:10" x14ac:dyDescent="0.25">
      <c r="B13" s="356" t="s">
        <v>506</v>
      </c>
      <c r="C13" s="351"/>
      <c r="D13" s="351"/>
      <c r="E13" s="351"/>
      <c r="J13" s="358"/>
    </row>
    <row r="14" spans="1:10" x14ac:dyDescent="0.25">
      <c r="B14" s="359" t="s">
        <v>549</v>
      </c>
      <c r="C14" s="354"/>
      <c r="D14" s="354"/>
      <c r="E14" s="354"/>
      <c r="J14" s="360"/>
    </row>
    <row r="15" spans="1:10" x14ac:dyDescent="0.25">
      <c r="B15" s="359" t="s">
        <v>21</v>
      </c>
      <c r="C15" s="354"/>
      <c r="D15" s="354"/>
      <c r="E15" s="354"/>
      <c r="J15" s="360"/>
    </row>
    <row r="16" spans="1:10" x14ac:dyDescent="0.25">
      <c r="B16" s="361" t="s">
        <v>550</v>
      </c>
      <c r="C16" s="357"/>
      <c r="D16" s="357"/>
      <c r="E16" s="357"/>
      <c r="J16" s="362"/>
    </row>
    <row r="17" spans="1:75" x14ac:dyDescent="0.25">
      <c r="B17" s="361" t="s">
        <v>951</v>
      </c>
      <c r="C17" s="363"/>
      <c r="D17" s="363"/>
      <c r="E17" s="363"/>
      <c r="J17" s="362"/>
    </row>
    <row r="18" spans="1:75" x14ac:dyDescent="0.25">
      <c r="B18" s="359" t="s">
        <v>803</v>
      </c>
    </row>
    <row r="19" spans="1:75" ht="13" x14ac:dyDescent="0.3">
      <c r="D19" s="353"/>
      <c r="E19" s="353"/>
    </row>
    <row r="20" spans="1:75" ht="13" x14ac:dyDescent="0.3">
      <c r="B20" s="353" t="s">
        <v>3</v>
      </c>
      <c r="C20" s="353"/>
      <c r="D20" s="355"/>
      <c r="E20" s="355"/>
    </row>
    <row r="21" spans="1:75" hidden="1" x14ac:dyDescent="0.25">
      <c r="B21" s="364"/>
      <c r="C21" s="355"/>
    </row>
    <row r="22" spans="1:75" ht="13" x14ac:dyDescent="0.3">
      <c r="B22" s="353"/>
    </row>
    <row r="23" spans="1:75" x14ac:dyDescent="0.25">
      <c r="B23" s="700" t="s">
        <v>843</v>
      </c>
      <c r="C23" s="701"/>
      <c r="D23" s="701"/>
      <c r="E23" s="701"/>
      <c r="F23" s="701"/>
    </row>
    <row r="24" spans="1:75" x14ac:dyDescent="0.25">
      <c r="B24" s="702" t="s">
        <v>844</v>
      </c>
      <c r="C24" s="701"/>
      <c r="D24" s="701"/>
      <c r="E24" s="701"/>
      <c r="F24" s="701"/>
    </row>
    <row r="25" spans="1:75" x14ac:dyDescent="0.25">
      <c r="B25" s="705" t="s">
        <v>847</v>
      </c>
      <c r="C25" s="701"/>
      <c r="D25" s="701"/>
      <c r="E25" s="701"/>
      <c r="F25" s="701"/>
    </row>
    <row r="26" spans="1:75" x14ac:dyDescent="0.25">
      <c r="B26" s="703" t="s">
        <v>845</v>
      </c>
      <c r="C26" s="701"/>
      <c r="D26" s="701"/>
      <c r="E26" s="701"/>
      <c r="F26" s="701"/>
    </row>
    <row r="27" spans="1:75" x14ac:dyDescent="0.25">
      <c r="B27" s="704" t="s">
        <v>846</v>
      </c>
      <c r="C27" s="701"/>
      <c r="D27" s="701"/>
      <c r="E27" s="701"/>
      <c r="F27" s="701"/>
    </row>
    <row r="29" spans="1:75" ht="13" thickBot="1" x14ac:dyDescent="0.3"/>
    <row r="30" spans="1:75" s="366" customFormat="1" ht="16" thickBot="1" x14ac:dyDescent="0.4">
      <c r="A30" s="673" t="s">
        <v>36</v>
      </c>
      <c r="B30" s="674"/>
      <c r="C30" s="674"/>
      <c r="D30" s="674"/>
      <c r="E30" s="674"/>
      <c r="F30" s="674"/>
      <c r="G30" s="674"/>
      <c r="H30" s="674"/>
      <c r="I30" s="674"/>
      <c r="J30" s="674"/>
      <c r="K30" s="675"/>
      <c r="L30" s="350"/>
      <c r="M30" s="350"/>
      <c r="N30" s="350"/>
      <c r="O30" s="350"/>
      <c r="P30" s="350"/>
      <c r="Q30" s="350"/>
      <c r="R30" s="350"/>
      <c r="S30" s="350"/>
      <c r="T30" s="350"/>
      <c r="U30" s="350"/>
      <c r="V30" s="350"/>
      <c r="W30" s="350"/>
      <c r="X30" s="350"/>
      <c r="Y30" s="350"/>
      <c r="Z30" s="350"/>
      <c r="AA30" s="350"/>
      <c r="AB30" s="350"/>
      <c r="AC30" s="350"/>
      <c r="AD30" s="350"/>
      <c r="AE30" s="350"/>
      <c r="AF30" s="350"/>
      <c r="AG30" s="350"/>
      <c r="AH30" s="350"/>
      <c r="AI30" s="350"/>
      <c r="AJ30" s="350"/>
      <c r="AK30" s="350"/>
      <c r="AL30" s="350"/>
      <c r="AM30" s="350"/>
      <c r="AN30" s="350"/>
      <c r="AO30" s="350"/>
      <c r="AP30" s="350"/>
      <c r="AQ30" s="350"/>
      <c r="AR30" s="350"/>
      <c r="AS30" s="350"/>
      <c r="AT30" s="350"/>
      <c r="AU30" s="350"/>
      <c r="AV30" s="350"/>
      <c r="AW30" s="350"/>
      <c r="AX30" s="350"/>
      <c r="AY30" s="350"/>
      <c r="AZ30" s="350"/>
      <c r="BA30" s="350"/>
      <c r="BB30" s="350"/>
      <c r="BC30" s="350"/>
      <c r="BD30" s="350"/>
      <c r="BE30" s="350"/>
      <c r="BF30" s="350"/>
      <c r="BG30" s="350"/>
      <c r="BH30" s="350"/>
      <c r="BI30" s="350"/>
      <c r="BJ30" s="350"/>
      <c r="BK30" s="350"/>
      <c r="BL30" s="350"/>
      <c r="BM30" s="350"/>
      <c r="BN30" s="350"/>
      <c r="BO30" s="350"/>
      <c r="BP30" s="350"/>
      <c r="BQ30" s="350"/>
      <c r="BR30" s="350"/>
      <c r="BS30" s="350"/>
      <c r="BT30" s="350"/>
      <c r="BU30" s="350"/>
      <c r="BV30" s="350"/>
      <c r="BW30" s="350"/>
    </row>
    <row r="31" spans="1:75" s="371" customFormat="1" ht="13" hidden="1" x14ac:dyDescent="0.3">
      <c r="A31" s="367"/>
      <c r="B31" s="368" t="s">
        <v>37</v>
      </c>
      <c r="C31" s="368"/>
      <c r="D31" s="368"/>
      <c r="E31" s="368"/>
      <c r="F31" s="368"/>
      <c r="G31" s="368"/>
      <c r="H31" s="369"/>
      <c r="I31" s="369"/>
      <c r="J31" s="369"/>
      <c r="K31" s="370"/>
    </row>
    <row r="32" spans="1:75" s="371" customFormat="1" hidden="1" x14ac:dyDescent="0.25">
      <c r="A32" s="367"/>
      <c r="B32" s="372"/>
      <c r="C32" s="372"/>
      <c r="D32" s="372"/>
      <c r="E32" s="373" t="s">
        <v>38</v>
      </c>
      <c r="F32" s="373"/>
      <c r="G32" s="373"/>
      <c r="H32" s="373"/>
      <c r="I32" s="373"/>
      <c r="J32" s="373"/>
      <c r="K32" s="370"/>
    </row>
    <row r="33" spans="1:11" s="371" customFormat="1" hidden="1" x14ac:dyDescent="0.25">
      <c r="A33" s="367"/>
      <c r="B33" s="369"/>
      <c r="C33" s="369"/>
      <c r="D33" s="374">
        <v>1</v>
      </c>
      <c r="E33" s="373" t="s">
        <v>400</v>
      </c>
      <c r="F33" s="375"/>
      <c r="G33" s="375">
        <f>Panel_values!M3</f>
        <v>4</v>
      </c>
      <c r="H33" s="376" t="s">
        <v>7</v>
      </c>
      <c r="I33" s="373"/>
      <c r="J33" s="373"/>
      <c r="K33" s="370"/>
    </row>
    <row r="34" spans="1:11" s="371" customFormat="1" hidden="1" x14ac:dyDescent="0.25">
      <c r="A34" s="367"/>
      <c r="B34" s="369"/>
      <c r="C34" s="369"/>
      <c r="D34" s="374">
        <v>2</v>
      </c>
      <c r="E34" s="373" t="s">
        <v>401</v>
      </c>
      <c r="F34" s="375"/>
      <c r="G34" s="375">
        <f>Panel_values!M4</f>
        <v>4</v>
      </c>
      <c r="H34" s="376" t="s">
        <v>7</v>
      </c>
      <c r="I34" s="377"/>
      <c r="J34" s="377"/>
      <c r="K34" s="370"/>
    </row>
    <row r="35" spans="1:11" s="371" customFormat="1" hidden="1" x14ac:dyDescent="0.25">
      <c r="A35" s="367"/>
      <c r="B35" s="369"/>
      <c r="C35" s="369"/>
      <c r="D35" s="374">
        <v>3</v>
      </c>
      <c r="E35" s="373"/>
      <c r="F35" s="375"/>
      <c r="G35" s="375">
        <f>Panel_values!M5</f>
        <v>3</v>
      </c>
      <c r="H35" s="376" t="s">
        <v>7</v>
      </c>
      <c r="I35" s="377"/>
      <c r="J35" s="377"/>
      <c r="K35" s="370"/>
    </row>
    <row r="36" spans="1:11" s="371" customFormat="1" hidden="1" x14ac:dyDescent="0.25">
      <c r="A36" s="367"/>
      <c r="B36" s="369"/>
      <c r="C36" s="369"/>
      <c r="D36" s="374">
        <v>4</v>
      </c>
      <c r="E36" s="373"/>
      <c r="F36" s="375"/>
      <c r="G36" s="375">
        <f>Panel_values!M6</f>
        <v>1</v>
      </c>
      <c r="H36" s="376" t="s">
        <v>7</v>
      </c>
      <c r="I36" s="377"/>
      <c r="J36" s="377"/>
      <c r="K36" s="370"/>
    </row>
    <row r="37" spans="1:11" s="371" customFormat="1" hidden="1" x14ac:dyDescent="0.25">
      <c r="A37" s="367"/>
      <c r="B37" s="369"/>
      <c r="C37" s="369"/>
      <c r="D37" s="374">
        <v>5</v>
      </c>
      <c r="E37" s="373"/>
      <c r="F37" s="375"/>
      <c r="G37" s="375">
        <f>Panel_values!M7</f>
        <v>2</v>
      </c>
      <c r="H37" s="376" t="s">
        <v>7</v>
      </c>
      <c r="I37" s="377"/>
      <c r="J37" s="377"/>
      <c r="K37" s="370"/>
    </row>
    <row r="38" spans="1:11" s="371" customFormat="1" hidden="1" x14ac:dyDescent="0.25">
      <c r="A38" s="367"/>
      <c r="B38" s="369"/>
      <c r="C38" s="369"/>
      <c r="D38" s="374">
        <v>6</v>
      </c>
      <c r="E38" s="373"/>
      <c r="F38" s="375"/>
      <c r="G38" s="375">
        <f>Panel_values!M8</f>
        <v>0</v>
      </c>
      <c r="H38" s="376" t="s">
        <v>7</v>
      </c>
      <c r="I38" s="377"/>
      <c r="J38" s="377"/>
      <c r="K38" s="370"/>
    </row>
    <row r="39" spans="1:11" s="371" customFormat="1" hidden="1" x14ac:dyDescent="0.25">
      <c r="A39" s="367"/>
      <c r="B39" s="369"/>
      <c r="C39" s="369"/>
      <c r="D39" s="374"/>
      <c r="E39" s="373"/>
      <c r="F39" s="375"/>
      <c r="G39" s="375"/>
      <c r="H39" s="376"/>
      <c r="I39" s="377"/>
      <c r="J39" s="377"/>
      <c r="K39" s="370"/>
    </row>
    <row r="40" spans="1:11" s="371" customFormat="1" hidden="1" x14ac:dyDescent="0.25">
      <c r="A40" s="367"/>
      <c r="B40" s="369"/>
      <c r="C40" s="369"/>
      <c r="D40" s="374"/>
      <c r="E40" s="373"/>
      <c r="F40" s="375"/>
      <c r="G40" s="375"/>
      <c r="H40" s="376"/>
      <c r="I40" s="377"/>
      <c r="J40" s="377"/>
      <c r="K40" s="370"/>
    </row>
    <row r="41" spans="1:11" s="371" customFormat="1" hidden="1" x14ac:dyDescent="0.25">
      <c r="A41" s="367"/>
      <c r="B41" s="369"/>
      <c r="C41" s="369"/>
      <c r="D41" s="378"/>
      <c r="E41" s="379">
        <v>1</v>
      </c>
      <c r="F41" s="380"/>
      <c r="G41" s="381" t="s">
        <v>39</v>
      </c>
      <c r="H41" s="373"/>
      <c r="I41" s="373"/>
      <c r="J41" s="380"/>
      <c r="K41" s="370"/>
    </row>
    <row r="42" spans="1:11" s="371" customFormat="1" hidden="1" x14ac:dyDescent="0.25">
      <c r="A42" s="367"/>
      <c r="B42" s="369"/>
      <c r="C42" s="369"/>
      <c r="D42" s="378"/>
      <c r="E42" s="380"/>
      <c r="F42" s="380"/>
      <c r="G42" s="373"/>
      <c r="H42" s="373"/>
      <c r="I42" s="373"/>
      <c r="J42" s="380"/>
      <c r="K42" s="370"/>
    </row>
    <row r="43" spans="1:11" s="371" customFormat="1" hidden="1" x14ac:dyDescent="0.25">
      <c r="A43" s="367"/>
      <c r="B43" s="369"/>
      <c r="C43" s="369"/>
      <c r="D43" s="378"/>
      <c r="E43" s="373" t="s">
        <v>40</v>
      </c>
      <c r="F43" s="380"/>
      <c r="G43" s="369"/>
      <c r="H43" s="369"/>
      <c r="I43" s="369"/>
      <c r="J43" s="380"/>
      <c r="K43" s="370"/>
    </row>
    <row r="44" spans="1:11" hidden="1" x14ac:dyDescent="0.25">
      <c r="A44" s="382"/>
      <c r="B44" s="366"/>
      <c r="C44" s="366"/>
      <c r="D44" s="374">
        <v>1</v>
      </c>
      <c r="E44" s="373" t="str">
        <f>VLOOKUP($E$41,Panel_values!$A$3:$L$8,2)</f>
        <v>FC361-ZZ</v>
      </c>
      <c r="F44" s="366"/>
      <c r="G44" s="366"/>
      <c r="H44" s="366"/>
      <c r="I44" s="366"/>
      <c r="J44" s="366"/>
      <c r="K44" s="383"/>
    </row>
    <row r="45" spans="1:11" hidden="1" x14ac:dyDescent="0.25">
      <c r="A45" s="382"/>
      <c r="B45" s="366"/>
      <c r="C45" s="366"/>
      <c r="D45" s="374">
        <v>2</v>
      </c>
      <c r="E45" s="373" t="str">
        <f>VLOOKUP($E$41,Panel_values!$A$3:$L$8,3)</f>
        <v>FC361-ZA</v>
      </c>
      <c r="F45" s="366"/>
      <c r="G45" s="366"/>
      <c r="H45" s="366"/>
      <c r="I45" s="366"/>
      <c r="J45" s="366"/>
      <c r="K45" s="383"/>
    </row>
    <row r="46" spans="1:11" hidden="1" x14ac:dyDescent="0.25">
      <c r="A46" s="382"/>
      <c r="B46" s="366"/>
      <c r="C46" s="366"/>
      <c r="D46" s="374">
        <v>3</v>
      </c>
      <c r="E46" s="373" t="str">
        <f>VLOOKUP($E$41,Panel_values!$A$3:$L$8,4)</f>
        <v>FC361-YZ</v>
      </c>
      <c r="F46" s="366"/>
      <c r="G46" s="366"/>
      <c r="H46" s="384" t="s">
        <v>370</v>
      </c>
      <c r="I46" s="385">
        <v>0</v>
      </c>
      <c r="J46" s="366"/>
      <c r="K46" s="383"/>
    </row>
    <row r="47" spans="1:11" hidden="1" x14ac:dyDescent="0.25">
      <c r="A47" s="382"/>
      <c r="B47" s="366"/>
      <c r="C47" s="366"/>
      <c r="D47" s="374">
        <v>4</v>
      </c>
      <c r="E47" s="373" t="str">
        <f>VLOOKUP($E$41,Panel_values!$A$3:$L$8,5)</f>
        <v>FC361-YA</v>
      </c>
      <c r="F47" s="366"/>
      <c r="G47" s="366"/>
      <c r="H47" s="384" t="s">
        <v>371</v>
      </c>
      <c r="I47" s="385">
        <v>0</v>
      </c>
      <c r="J47" s="366"/>
      <c r="K47" s="383"/>
    </row>
    <row r="48" spans="1:11" hidden="1" x14ac:dyDescent="0.25">
      <c r="A48" s="382"/>
      <c r="B48" s="366"/>
      <c r="C48" s="366"/>
      <c r="D48" s="374">
        <v>5</v>
      </c>
      <c r="E48" s="373" t="str">
        <f>VLOOKUP($E$41,Panel_values!$A$3:$L$8,6)</f>
        <v>--</v>
      </c>
      <c r="F48" s="366"/>
      <c r="G48" s="366"/>
      <c r="H48" s="366"/>
      <c r="I48" s="366"/>
      <c r="J48" s="366"/>
      <c r="K48" s="383"/>
    </row>
    <row r="49" spans="1:11" hidden="1" x14ac:dyDescent="0.25">
      <c r="A49" s="382"/>
      <c r="B49" s="366"/>
      <c r="C49" s="366"/>
      <c r="D49" s="374">
        <v>6</v>
      </c>
      <c r="E49" s="373" t="str">
        <f>VLOOKUP($E$41,Panel_values!$A$3:$L$8,7)</f>
        <v>--</v>
      </c>
      <c r="F49" s="366"/>
      <c r="G49" s="366"/>
      <c r="H49" s="384" t="s">
        <v>41</v>
      </c>
      <c r="I49" s="385">
        <v>1</v>
      </c>
      <c r="J49" s="366"/>
      <c r="K49" s="383"/>
    </row>
    <row r="50" spans="1:11" hidden="1" x14ac:dyDescent="0.25">
      <c r="A50" s="382"/>
      <c r="B50" s="366"/>
      <c r="C50" s="366"/>
      <c r="D50" s="374">
        <v>7</v>
      </c>
      <c r="E50" s="373" t="str">
        <f>VLOOKUP($E$41,Panel_values!$A$3:$L$8,8)</f>
        <v>--</v>
      </c>
      <c r="F50" s="366"/>
      <c r="G50" s="366"/>
      <c r="H50" s="366"/>
      <c r="I50" s="366"/>
      <c r="J50" s="366"/>
      <c r="K50" s="383"/>
    </row>
    <row r="51" spans="1:11" hidden="1" x14ac:dyDescent="0.25">
      <c r="A51" s="382"/>
      <c r="B51" s="366"/>
      <c r="C51" s="366"/>
      <c r="D51" s="374">
        <v>8</v>
      </c>
      <c r="E51" s="373" t="str">
        <f>VLOOKUP($E$41,Panel_values!$A$3:$L$8,9)</f>
        <v>--</v>
      </c>
      <c r="F51" s="366"/>
      <c r="G51" s="366"/>
      <c r="H51" s="384" t="s">
        <v>42</v>
      </c>
      <c r="I51" s="385">
        <f>IF(E41=5,1,0)</f>
        <v>0</v>
      </c>
      <c r="J51" s="366" t="s">
        <v>43</v>
      </c>
      <c r="K51" s="383"/>
    </row>
    <row r="52" spans="1:11" hidden="1" x14ac:dyDescent="0.25">
      <c r="A52" s="382"/>
      <c r="B52" s="366"/>
      <c r="C52" s="366"/>
      <c r="D52" s="374">
        <v>9</v>
      </c>
      <c r="E52" s="373" t="str">
        <f>VLOOKUP($E$41,Panel_values!$A$3:$L$8,10)</f>
        <v>--</v>
      </c>
      <c r="F52" s="366"/>
      <c r="G52" s="366"/>
      <c r="H52" s="384" t="s">
        <v>44</v>
      </c>
      <c r="I52" s="385">
        <f>IF(OR(E41=1,E41=2,E41=5),1,0)</f>
        <v>1</v>
      </c>
      <c r="J52" s="366" t="s">
        <v>45</v>
      </c>
      <c r="K52" s="383"/>
    </row>
    <row r="53" spans="1:11" hidden="1" x14ac:dyDescent="0.25">
      <c r="A53" s="382"/>
      <c r="B53" s="366"/>
      <c r="C53" s="366"/>
      <c r="D53" s="374">
        <v>10</v>
      </c>
      <c r="E53" s="373" t="str">
        <f>VLOOKUP($E$41,Panel_values!$A$3:$L$8,11)</f>
        <v>--</v>
      </c>
      <c r="F53" s="366"/>
      <c r="G53" s="366"/>
      <c r="H53" s="366"/>
      <c r="I53" s="366"/>
      <c r="J53" s="366"/>
      <c r="K53" s="383"/>
    </row>
    <row r="54" spans="1:11" hidden="1" x14ac:dyDescent="0.25">
      <c r="A54" s="382"/>
      <c r="B54" s="366"/>
      <c r="C54" s="366"/>
      <c r="D54" s="374">
        <v>11</v>
      </c>
      <c r="E54" s="373" t="str">
        <f>VLOOKUP($E$41,Panel_values!$A$3:$L$8,12)</f>
        <v>--</v>
      </c>
      <c r="F54" s="366"/>
      <c r="G54" s="366"/>
      <c r="H54" s="366"/>
      <c r="I54" s="366"/>
      <c r="J54" s="366"/>
      <c r="K54" s="383"/>
    </row>
    <row r="55" spans="1:11" hidden="1" x14ac:dyDescent="0.25">
      <c r="A55" s="382"/>
      <c r="B55" s="366"/>
      <c r="C55" s="366"/>
      <c r="D55" s="374"/>
      <c r="E55" s="373"/>
      <c r="F55" s="366"/>
      <c r="G55" s="366"/>
      <c r="H55" s="366"/>
      <c r="I55" s="366"/>
      <c r="J55" s="366"/>
      <c r="K55" s="383"/>
    </row>
    <row r="56" spans="1:11" hidden="1" x14ac:dyDescent="0.25">
      <c r="A56" s="382"/>
      <c r="B56" s="366"/>
      <c r="C56" s="366"/>
      <c r="D56" s="366"/>
      <c r="E56" s="379">
        <v>1</v>
      </c>
      <c r="F56" s="366"/>
      <c r="G56" s="381" t="s">
        <v>46</v>
      </c>
      <c r="H56" s="366"/>
      <c r="I56" s="366"/>
      <c r="J56" s="366"/>
      <c r="K56" s="383"/>
    </row>
    <row r="57" spans="1:11" ht="13" thickBot="1" x14ac:dyDescent="0.3">
      <c r="A57" s="386"/>
      <c r="K57" s="387"/>
    </row>
    <row r="58" spans="1:11" ht="39.75" customHeight="1" thickBot="1" x14ac:dyDescent="0.3">
      <c r="A58" s="386"/>
      <c r="B58" s="388" t="s">
        <v>36</v>
      </c>
      <c r="C58" s="389"/>
      <c r="D58" s="390"/>
      <c r="E58" s="391"/>
      <c r="F58" s="392"/>
      <c r="G58" s="392"/>
      <c r="H58" s="392"/>
      <c r="I58" s="392"/>
      <c r="J58" s="392"/>
      <c r="K58" s="393"/>
    </row>
    <row r="59" spans="1:11" ht="39.75" customHeight="1" thickBot="1" x14ac:dyDescent="0.3">
      <c r="A59" s="386"/>
      <c r="B59" s="394"/>
      <c r="C59" s="394"/>
      <c r="D59" s="390"/>
      <c r="E59" s="391"/>
      <c r="F59" s="392"/>
      <c r="G59" s="392"/>
      <c r="H59" s="392"/>
      <c r="I59" s="392"/>
      <c r="J59" s="392"/>
      <c r="K59" s="393"/>
    </row>
    <row r="60" spans="1:11" ht="13" thickBot="1" x14ac:dyDescent="0.3">
      <c r="A60" s="386"/>
      <c r="K60" s="387"/>
    </row>
    <row r="61" spans="1:11" hidden="1" x14ac:dyDescent="0.25">
      <c r="A61" s="386"/>
      <c r="B61" s="395" t="s">
        <v>47</v>
      </c>
      <c r="C61" s="395"/>
      <c r="D61" s="396"/>
      <c r="E61" s="396"/>
      <c r="K61" s="387"/>
    </row>
    <row r="62" spans="1:11" hidden="1" x14ac:dyDescent="0.25">
      <c r="A62" s="386"/>
      <c r="B62" s="396" t="s">
        <v>48</v>
      </c>
      <c r="C62" s="396" t="str">
        <f>Panel_comp!B109</f>
        <v>FC361-ZZ</v>
      </c>
      <c r="D62" s="396"/>
      <c r="E62" s="396"/>
      <c r="K62" s="387"/>
    </row>
    <row r="63" spans="1:11" hidden="1" x14ac:dyDescent="0.25">
      <c r="A63" s="386"/>
      <c r="B63" s="397" t="str" cm="1">
        <f t="array" ref="B63">CONCATENATE("Variant: ",VLOOKUP($E$41,Panel_values!A22:L27,_xlfn.SINGLE($E$56)+1,FALSE))</f>
        <v>Variant: International</v>
      </c>
      <c r="C63" s="396"/>
      <c r="D63" s="398"/>
      <c r="E63" s="396"/>
      <c r="K63" s="387"/>
    </row>
    <row r="64" spans="1:11" hidden="1" x14ac:dyDescent="0.25">
      <c r="A64" s="386"/>
      <c r="B64" s="397" t="str" cm="1">
        <f t="array" ref="B64">CONCATENATE("Order Number: ",VLOOKUP($E$41,Panel_values!A13:L18,_xlfn.SINGLE($E$56)+1,FALSE))</f>
        <v>Order Number: S54433-C112-A1</v>
      </c>
      <c r="C64" s="396"/>
      <c r="D64" s="396"/>
      <c r="E64" s="396"/>
      <c r="K64" s="387"/>
    </row>
    <row r="65" spans="1:75" hidden="1" x14ac:dyDescent="0.25">
      <c r="A65" s="386"/>
      <c r="B65" s="396" t="s">
        <v>414</v>
      </c>
      <c r="C65" s="396"/>
      <c r="D65" s="398">
        <f>Panel_comp!C110</f>
        <v>1</v>
      </c>
      <c r="E65" s="399" t="str">
        <f>Panel_comp!D110</f>
        <v>loops</v>
      </c>
      <c r="F65" s="400"/>
      <c r="K65" s="387"/>
    </row>
    <row r="66" spans="1:75" hidden="1" x14ac:dyDescent="0.25">
      <c r="A66" s="386"/>
      <c r="B66" s="396" t="s">
        <v>386</v>
      </c>
      <c r="C66" s="396" t="str">
        <f>Panel_comp!B111</f>
        <v>--</v>
      </c>
      <c r="D66" s="398" t="str">
        <f>Panel_comp!C111</f>
        <v/>
      </c>
      <c r="E66" s="399" t="str">
        <f>Panel_comp!D111</f>
        <v/>
      </c>
      <c r="F66" s="401"/>
      <c r="K66" s="387"/>
    </row>
    <row r="67" spans="1:75" hidden="1" x14ac:dyDescent="0.25">
      <c r="A67" s="386"/>
      <c r="B67" s="396" t="s">
        <v>49</v>
      </c>
      <c r="C67" s="399" t="str">
        <f>Panel_comp!C173</f>
        <v>Compact</v>
      </c>
      <c r="D67" s="398"/>
      <c r="E67" s="396"/>
      <c r="F67" s="400"/>
      <c r="I67" s="402"/>
      <c r="K67" s="387"/>
    </row>
    <row r="68" spans="1:75" hidden="1" x14ac:dyDescent="0.25">
      <c r="A68" s="386"/>
      <c r="B68" s="396" t="s">
        <v>50</v>
      </c>
      <c r="C68" s="399" t="str">
        <f>Panel_comp!B182</f>
        <v>FP2001-A1</v>
      </c>
      <c r="D68" s="398">
        <f>Panel_comp!C182</f>
        <v>70</v>
      </c>
      <c r="E68" s="396" t="s">
        <v>51</v>
      </c>
      <c r="F68" s="400"/>
      <c r="K68" s="387"/>
    </row>
    <row r="69" spans="1:75" hidden="1" x14ac:dyDescent="0.25">
      <c r="A69" s="386"/>
      <c r="B69" s="396" t="s">
        <v>52</v>
      </c>
      <c r="C69" s="399" t="str">
        <f>Panel_comp!B174</f>
        <v>FA2004-A1</v>
      </c>
      <c r="D69" s="398">
        <f>Panel_comp!C174</f>
        <v>12</v>
      </c>
      <c r="E69" s="396" t="s">
        <v>53</v>
      </c>
      <c r="F69" s="400"/>
      <c r="K69" s="387"/>
    </row>
    <row r="70" spans="1:75" hidden="1" x14ac:dyDescent="0.25">
      <c r="A70" s="386"/>
      <c r="B70" s="396" t="s">
        <v>54</v>
      </c>
      <c r="C70" s="399" t="str">
        <f>Panel_comp!B185</f>
        <v>FP2001-A1</v>
      </c>
      <c r="D70" s="398">
        <f>Panel_comp!C185</f>
        <v>70</v>
      </c>
      <c r="E70" s="396" t="s">
        <v>51</v>
      </c>
      <c r="F70" s="400"/>
      <c r="K70" s="387"/>
    </row>
    <row r="71" spans="1:75" hidden="1" x14ac:dyDescent="0.25">
      <c r="A71" s="386"/>
      <c r="C71" s="351"/>
      <c r="D71" s="401"/>
      <c r="F71" s="400"/>
      <c r="K71" s="387"/>
    </row>
    <row r="72" spans="1:75" hidden="1" x14ac:dyDescent="0.25">
      <c r="A72" s="386"/>
      <c r="C72" s="351"/>
      <c r="D72" s="401"/>
      <c r="F72" s="400"/>
      <c r="K72" s="387"/>
    </row>
    <row r="73" spans="1:75" hidden="1" x14ac:dyDescent="0.25">
      <c r="A73" s="386"/>
      <c r="C73" s="351"/>
      <c r="D73" s="401"/>
      <c r="F73" s="400"/>
      <c r="K73" s="387"/>
    </row>
    <row r="74" spans="1:75" hidden="1" x14ac:dyDescent="0.25">
      <c r="A74" s="386"/>
      <c r="C74" s="351"/>
      <c r="D74" s="401"/>
      <c r="F74" s="400"/>
      <c r="K74" s="387"/>
    </row>
    <row r="75" spans="1:75" hidden="1" x14ac:dyDescent="0.25">
      <c r="A75" s="386"/>
      <c r="C75" s="351"/>
      <c r="D75" s="401"/>
      <c r="F75" s="400"/>
      <c r="K75" s="387"/>
    </row>
    <row r="76" spans="1:75" ht="13" hidden="1" thickBot="1" x14ac:dyDescent="0.3">
      <c r="A76" s="386"/>
      <c r="K76" s="387"/>
    </row>
    <row r="77" spans="1:75" ht="22.4" customHeight="1" thickBot="1" x14ac:dyDescent="0.4">
      <c r="A77" s="673" t="s">
        <v>55</v>
      </c>
      <c r="B77" s="674"/>
      <c r="C77" s="674"/>
      <c r="D77" s="674"/>
      <c r="E77" s="674"/>
      <c r="F77" s="674"/>
      <c r="G77" s="674"/>
      <c r="H77" s="674"/>
      <c r="I77" s="674"/>
      <c r="J77" s="674"/>
      <c r="K77" s="675"/>
    </row>
    <row r="78" spans="1:75" s="366" customFormat="1" hidden="1" x14ac:dyDescent="0.25">
      <c r="A78" s="382"/>
      <c r="K78" s="383"/>
      <c r="L78" s="350"/>
      <c r="M78" s="350"/>
      <c r="N78" s="350"/>
      <c r="O78" s="350"/>
      <c r="P78" s="350"/>
      <c r="Q78" s="350"/>
      <c r="R78" s="350"/>
      <c r="S78" s="350"/>
      <c r="T78" s="350"/>
      <c r="U78" s="350"/>
      <c r="V78" s="350"/>
      <c r="W78" s="350"/>
      <c r="X78" s="350"/>
      <c r="Y78" s="350"/>
      <c r="Z78" s="350"/>
      <c r="AA78" s="350"/>
      <c r="AB78" s="350"/>
      <c r="AC78" s="350"/>
      <c r="AD78" s="350"/>
      <c r="AE78" s="350"/>
      <c r="AF78" s="350"/>
      <c r="AG78" s="350"/>
      <c r="AH78" s="350"/>
      <c r="AI78" s="350"/>
      <c r="AJ78" s="350"/>
      <c r="AK78" s="350"/>
      <c r="AL78" s="350"/>
      <c r="AM78" s="350"/>
      <c r="AN78" s="350"/>
      <c r="AO78" s="350"/>
      <c r="AP78" s="350"/>
      <c r="AQ78" s="350"/>
      <c r="AR78" s="350"/>
      <c r="AS78" s="350"/>
      <c r="AT78" s="350"/>
      <c r="AU78" s="350"/>
      <c r="AV78" s="350"/>
      <c r="AW78" s="350"/>
      <c r="AX78" s="350"/>
      <c r="AY78" s="350"/>
      <c r="AZ78" s="350"/>
      <c r="BA78" s="350"/>
      <c r="BB78" s="350"/>
      <c r="BC78" s="350"/>
      <c r="BD78" s="350"/>
      <c r="BE78" s="350"/>
      <c r="BF78" s="350"/>
      <c r="BG78" s="350"/>
      <c r="BH78" s="350"/>
      <c r="BI78" s="350"/>
      <c r="BJ78" s="350"/>
      <c r="BK78" s="350"/>
      <c r="BL78" s="350"/>
      <c r="BM78" s="350"/>
      <c r="BN78" s="350"/>
      <c r="BO78" s="350"/>
      <c r="BP78" s="350"/>
      <c r="BQ78" s="350"/>
      <c r="BR78" s="350"/>
      <c r="BS78" s="350"/>
      <c r="BT78" s="350"/>
      <c r="BU78" s="350"/>
      <c r="BV78" s="350"/>
      <c r="BW78" s="350"/>
    </row>
    <row r="79" spans="1:75" s="371" customFormat="1" hidden="1" x14ac:dyDescent="0.25">
      <c r="A79" s="367"/>
      <c r="B79" s="372"/>
      <c r="C79" s="372"/>
      <c r="D79" s="372"/>
      <c r="E79" s="373"/>
      <c r="F79" s="403"/>
      <c r="G79" s="376"/>
      <c r="H79" s="376"/>
      <c r="I79" s="373"/>
      <c r="J79" s="373"/>
      <c r="K79" s="370"/>
    </row>
    <row r="80" spans="1:75" s="410" customFormat="1" hidden="1" x14ac:dyDescent="0.25">
      <c r="A80" s="404"/>
      <c r="B80" s="405"/>
      <c r="C80" s="405"/>
      <c r="D80" s="405"/>
      <c r="E80" s="406"/>
      <c r="F80" s="407"/>
      <c r="G80" s="408"/>
      <c r="H80" s="408"/>
      <c r="I80" s="406"/>
      <c r="J80" s="406"/>
      <c r="K80" s="409"/>
    </row>
    <row r="81" spans="1:75" s="410" customFormat="1" hidden="1" x14ac:dyDescent="0.25">
      <c r="A81" s="404"/>
      <c r="B81" s="405"/>
      <c r="C81" s="405"/>
      <c r="D81" s="405"/>
      <c r="E81" s="406"/>
      <c r="F81" s="407"/>
      <c r="G81" s="408"/>
      <c r="H81" s="408"/>
      <c r="I81" s="406"/>
      <c r="J81" s="406"/>
      <c r="K81" s="409"/>
    </row>
    <row r="82" spans="1:75" s="410" customFormat="1" hidden="1" x14ac:dyDescent="0.25">
      <c r="A82" s="404"/>
      <c r="B82" s="372" t="str">
        <f>Panel_comp!A14</f>
        <v>Max. Total Current of All Sounders</v>
      </c>
      <c r="C82" s="405"/>
      <c r="D82" s="405"/>
      <c r="E82" s="406"/>
      <c r="F82" s="403">
        <f>Panel_comp!C14</f>
        <v>0.5</v>
      </c>
      <c r="G82" s="376" t="str">
        <f>Panel_comp!D14</f>
        <v>A</v>
      </c>
      <c r="H82" s="376" t="str">
        <f>Panel_comp!E14</f>
        <v>(@ 24V)</v>
      </c>
      <c r="I82" s="406"/>
      <c r="J82" s="406"/>
      <c r="K82" s="409"/>
    </row>
    <row r="83" spans="1:75" s="371" customFormat="1" hidden="1" x14ac:dyDescent="0.25">
      <c r="A83" s="367"/>
      <c r="B83" s="372" t="str">
        <f>Panel_comp!A15</f>
        <v>Max. Current per Sounder Line</v>
      </c>
      <c r="C83" s="372"/>
      <c r="D83" s="372"/>
      <c r="E83" s="373"/>
      <c r="F83" s="403">
        <f>Panel_comp!C15</f>
        <v>0.5</v>
      </c>
      <c r="G83" s="376" t="str">
        <f>Panel_comp!D15</f>
        <v>A</v>
      </c>
      <c r="H83" s="376" t="str">
        <f>Panel_comp!E15</f>
        <v>(@ 24V)</v>
      </c>
      <c r="I83" s="373"/>
      <c r="J83" s="373"/>
      <c r="K83" s="370"/>
    </row>
    <row r="84" spans="1:75" s="371" customFormat="1" hidden="1" x14ac:dyDescent="0.25">
      <c r="A84" s="367"/>
      <c r="B84" s="372" t="str">
        <f>Panel_comp!A16</f>
        <v>Max. Current of Auxiliary Power</v>
      </c>
      <c r="C84" s="372"/>
      <c r="D84" s="372"/>
      <c r="E84" s="373"/>
      <c r="F84" s="403">
        <f>Panel_comp!C16</f>
        <v>0.2</v>
      </c>
      <c r="G84" s="376" t="str">
        <f>Panel_comp!D16</f>
        <v>A</v>
      </c>
      <c r="H84" s="376" t="str">
        <f>Panel_comp!E16</f>
        <v>(@ 24V)</v>
      </c>
      <c r="I84" s="373"/>
      <c r="J84" s="373"/>
      <c r="K84" s="370"/>
    </row>
    <row r="85" spans="1:75" s="371" customFormat="1" hidden="1" x14ac:dyDescent="0.25">
      <c r="A85" s="367"/>
      <c r="B85" s="372" t="str">
        <f>Panel_comp!A17</f>
        <v>Max. Current per Open Collector</v>
      </c>
      <c r="C85" s="372"/>
      <c r="D85" s="372"/>
      <c r="E85" s="373"/>
      <c r="F85" s="403">
        <f>Panel_comp!C17</f>
        <v>0.1</v>
      </c>
      <c r="G85" s="376" t="str">
        <f>Panel_comp!D17</f>
        <v>A</v>
      </c>
      <c r="H85" s="376" t="str">
        <f>Panel_comp!E17</f>
        <v>(@ 24V)</v>
      </c>
      <c r="I85" s="373"/>
      <c r="J85" s="373"/>
      <c r="K85" s="370"/>
    </row>
    <row r="86" spans="1:75" s="371" customFormat="1" hidden="1" x14ac:dyDescent="0.25">
      <c r="A86" s="367"/>
      <c r="B86" s="372" t="str">
        <f>Panel_comp!A18</f>
        <v>Max. RSxxx Modules</v>
      </c>
      <c r="C86" s="372"/>
      <c r="D86" s="372"/>
      <c r="E86" s="373"/>
      <c r="F86" s="411">
        <f>Panel_comp!C18</f>
        <v>1</v>
      </c>
      <c r="G86" s="376" t="str">
        <f>Panel_comp!D18</f>
        <v>pcs.</v>
      </c>
      <c r="H86" s="376">
        <f>Panel_comp!E18</f>
        <v>0</v>
      </c>
      <c r="I86" s="373"/>
      <c r="J86" s="373"/>
      <c r="K86" s="370"/>
    </row>
    <row r="87" spans="1:75" ht="13" thickBot="1" x14ac:dyDescent="0.3">
      <c r="A87" s="386"/>
      <c r="K87" s="387"/>
    </row>
    <row r="88" spans="1:75" s="415" customFormat="1" ht="16.5" customHeight="1" thickBot="1" x14ac:dyDescent="0.4">
      <c r="A88" s="412"/>
      <c r="B88" s="695" t="s">
        <v>508</v>
      </c>
      <c r="C88" s="696"/>
      <c r="D88" s="696"/>
      <c r="E88" s="697"/>
      <c r="F88" s="672" t="s">
        <v>509</v>
      </c>
      <c r="G88" s="672"/>
      <c r="H88" s="670" t="s">
        <v>510</v>
      </c>
      <c r="I88" s="671"/>
      <c r="J88" s="413" t="s">
        <v>511</v>
      </c>
      <c r="K88" s="414"/>
    </row>
    <row r="89" spans="1:75" ht="13" thickBot="1" x14ac:dyDescent="0.3">
      <c r="A89" s="386"/>
      <c r="B89" s="416" t="s">
        <v>56</v>
      </c>
      <c r="C89" s="417"/>
      <c r="D89" s="416"/>
      <c r="E89" s="418"/>
      <c r="F89" s="419">
        <f>'C-NET_Module2'!C548</f>
        <v>3.9E-2</v>
      </c>
      <c r="G89" s="420" t="s">
        <v>57</v>
      </c>
      <c r="H89" s="421">
        <f>'C-NET_Module2'!C538</f>
        <v>3.9E-2</v>
      </c>
      <c r="I89" s="422" t="s">
        <v>57</v>
      </c>
      <c r="J89" s="422" t="s">
        <v>388</v>
      </c>
      <c r="K89" s="387"/>
    </row>
    <row r="90" spans="1:75" hidden="1" x14ac:dyDescent="0.25">
      <c r="A90" s="386"/>
      <c r="K90" s="387"/>
    </row>
    <row r="91" spans="1:75" s="415" customFormat="1" ht="16.5" hidden="1" customHeight="1" thickBot="1" x14ac:dyDescent="0.4">
      <c r="A91" s="412"/>
      <c r="B91" s="695" t="s">
        <v>339</v>
      </c>
      <c r="C91" s="696"/>
      <c r="D91" s="696"/>
      <c r="E91" s="697"/>
      <c r="F91" s="672" t="str">
        <f>F$88</f>
        <v>Quiescent current</v>
      </c>
      <c r="G91" s="672"/>
      <c r="H91" s="670" t="str">
        <f>H$88</f>
        <v>Alarm current</v>
      </c>
      <c r="I91" s="671"/>
      <c r="J91" s="413" t="str">
        <f>J$88</f>
        <v>Remarks</v>
      </c>
      <c r="K91" s="414"/>
    </row>
    <row r="92" spans="1:75" ht="13" hidden="1" thickBot="1" x14ac:dyDescent="0.3">
      <c r="A92" s="386"/>
      <c r="B92" s="416" t="s">
        <v>56</v>
      </c>
      <c r="C92" s="417"/>
      <c r="D92" s="416"/>
      <c r="E92" s="418"/>
      <c r="F92" s="421">
        <v>3.90123564023536E-2</v>
      </c>
      <c r="G92" s="422" t="s">
        <v>57</v>
      </c>
      <c r="H92" s="421">
        <v>3.90123564023536E-2</v>
      </c>
      <c r="I92" s="422" t="s">
        <v>57</v>
      </c>
      <c r="J92" s="422" t="s">
        <v>340</v>
      </c>
      <c r="K92" s="387"/>
    </row>
    <row r="93" spans="1:75" s="366" customFormat="1" hidden="1" x14ac:dyDescent="0.25">
      <c r="A93" s="382"/>
      <c r="K93" s="383"/>
      <c r="L93" s="350"/>
      <c r="M93" s="350"/>
      <c r="N93" s="350"/>
      <c r="O93" s="350"/>
      <c r="P93" s="350"/>
      <c r="Q93" s="350"/>
      <c r="R93" s="350"/>
      <c r="S93" s="350"/>
      <c r="T93" s="350"/>
      <c r="U93" s="350"/>
      <c r="V93" s="350"/>
      <c r="W93" s="350"/>
      <c r="X93" s="350"/>
      <c r="Y93" s="350"/>
      <c r="Z93" s="350"/>
      <c r="AA93" s="350"/>
      <c r="AB93" s="350"/>
      <c r="AC93" s="350"/>
      <c r="AD93" s="350"/>
      <c r="AE93" s="350"/>
      <c r="AF93" s="350"/>
      <c r="AG93" s="350"/>
      <c r="AH93" s="350"/>
      <c r="AI93" s="350"/>
      <c r="AJ93" s="350"/>
      <c r="AK93" s="350"/>
      <c r="AL93" s="350"/>
      <c r="AM93" s="350"/>
      <c r="AN93" s="350"/>
      <c r="AO93" s="350"/>
      <c r="AP93" s="350"/>
      <c r="AQ93" s="350"/>
      <c r="AR93" s="350"/>
      <c r="AS93" s="350"/>
      <c r="AT93" s="350"/>
      <c r="AU93" s="350"/>
      <c r="AV93" s="350"/>
      <c r="AW93" s="350"/>
      <c r="AX93" s="350"/>
      <c r="AY93" s="350"/>
      <c r="AZ93" s="350"/>
      <c r="BA93" s="350"/>
      <c r="BB93" s="350"/>
      <c r="BC93" s="350"/>
      <c r="BD93" s="350"/>
      <c r="BE93" s="350"/>
      <c r="BF93" s="350"/>
      <c r="BG93" s="350"/>
      <c r="BH93" s="350"/>
      <c r="BI93" s="350"/>
      <c r="BJ93" s="350"/>
      <c r="BK93" s="350"/>
      <c r="BL93" s="350"/>
      <c r="BM93" s="350"/>
      <c r="BN93" s="350"/>
      <c r="BO93" s="350"/>
      <c r="BP93" s="350"/>
      <c r="BQ93" s="350"/>
      <c r="BR93" s="350"/>
      <c r="BS93" s="350"/>
      <c r="BT93" s="350"/>
      <c r="BU93" s="350"/>
      <c r="BV93" s="350"/>
      <c r="BW93" s="350"/>
    </row>
    <row r="94" spans="1:75" s="371" customFormat="1" hidden="1" x14ac:dyDescent="0.25">
      <c r="A94" s="367"/>
      <c r="B94" s="372"/>
      <c r="C94" s="372"/>
      <c r="D94" s="373"/>
      <c r="E94" s="373"/>
      <c r="F94" s="373"/>
      <c r="G94" s="376"/>
      <c r="H94" s="373"/>
      <c r="I94" s="373"/>
      <c r="J94" s="373"/>
      <c r="K94" s="370"/>
    </row>
    <row r="95" spans="1:75" s="371" customFormat="1" hidden="1" x14ac:dyDescent="0.25">
      <c r="A95" s="367"/>
      <c r="B95" s="372"/>
      <c r="C95" s="372"/>
      <c r="D95" s="373"/>
      <c r="E95" s="373"/>
      <c r="F95" s="373"/>
      <c r="G95" s="376"/>
      <c r="H95" s="373"/>
      <c r="I95" s="373"/>
      <c r="J95" s="373"/>
      <c r="K95" s="370"/>
    </row>
    <row r="96" spans="1:75" ht="13" thickBot="1" x14ac:dyDescent="0.3">
      <c r="A96" s="386"/>
      <c r="K96" s="387"/>
    </row>
    <row r="97" spans="1:14" ht="16" thickBot="1" x14ac:dyDescent="0.4">
      <c r="A97" s="673" t="s">
        <v>512</v>
      </c>
      <c r="B97" s="674"/>
      <c r="C97" s="674"/>
      <c r="D97" s="674"/>
      <c r="E97" s="674"/>
      <c r="F97" s="674"/>
      <c r="G97" s="674"/>
      <c r="H97" s="674"/>
      <c r="I97" s="674"/>
      <c r="J97" s="674"/>
      <c r="K97" s="675"/>
      <c r="N97" s="423"/>
    </row>
    <row r="98" spans="1:14" ht="13" thickBot="1" x14ac:dyDescent="0.3">
      <c r="A98" s="386"/>
      <c r="K98" s="387"/>
    </row>
    <row r="99" spans="1:14" ht="16" thickBot="1" x14ac:dyDescent="0.3">
      <c r="A99" s="386"/>
      <c r="B99" s="389" t="s">
        <v>513</v>
      </c>
      <c r="C99" s="424"/>
      <c r="D99" s="670"/>
      <c r="E99" s="671"/>
      <c r="F99" s="672"/>
      <c r="G99" s="672"/>
      <c r="H99" s="670" t="str">
        <f>H$88</f>
        <v>Alarm current</v>
      </c>
      <c r="I99" s="671"/>
      <c r="J99" s="413" t="str">
        <f>J$88</f>
        <v>Remarks</v>
      </c>
      <c r="K99" s="387"/>
    </row>
    <row r="100" spans="1:14" ht="16.5" customHeight="1" thickBot="1" x14ac:dyDescent="0.3">
      <c r="A100" s="386"/>
      <c r="B100" s="425" t="s">
        <v>59</v>
      </c>
      <c r="C100" s="420"/>
      <c r="D100" s="425"/>
      <c r="E100" s="422"/>
      <c r="F100" s="420"/>
      <c r="G100" s="420"/>
      <c r="H100" s="426">
        <v>0</v>
      </c>
      <c r="I100" s="422" t="s">
        <v>57</v>
      </c>
      <c r="J100" s="698" t="s">
        <v>497</v>
      </c>
      <c r="K100" s="387"/>
    </row>
    <row r="101" spans="1:14" ht="13" thickBot="1" x14ac:dyDescent="0.3">
      <c r="A101" s="386"/>
      <c r="B101" s="427" t="s">
        <v>60</v>
      </c>
      <c r="C101" s="428"/>
      <c r="D101" s="427"/>
      <c r="E101" s="429"/>
      <c r="F101" s="430"/>
      <c r="G101" s="430"/>
      <c r="H101" s="426">
        <v>0</v>
      </c>
      <c r="I101" s="422" t="s">
        <v>57</v>
      </c>
      <c r="J101" s="699"/>
      <c r="K101" s="387"/>
    </row>
    <row r="102" spans="1:14" x14ac:dyDescent="0.25">
      <c r="A102" s="386"/>
      <c r="B102" s="431"/>
      <c r="C102" s="431"/>
      <c r="D102" s="431"/>
      <c r="E102" s="431"/>
      <c r="K102" s="387"/>
    </row>
    <row r="103" spans="1:14" ht="16" hidden="1" thickBot="1" x14ac:dyDescent="0.3">
      <c r="A103" s="386"/>
      <c r="B103" s="389" t="s">
        <v>61</v>
      </c>
      <c r="C103" s="424"/>
      <c r="D103" s="670"/>
      <c r="E103" s="671"/>
      <c r="F103" s="672" t="str">
        <f>F$88</f>
        <v>Quiescent current</v>
      </c>
      <c r="G103" s="672"/>
      <c r="H103" s="670" t="str">
        <f>H$88</f>
        <v>Alarm current</v>
      </c>
      <c r="I103" s="671"/>
      <c r="J103" s="413" t="str">
        <f>J$88</f>
        <v>Remarks</v>
      </c>
      <c r="K103" s="387"/>
    </row>
    <row r="104" spans="1:14" ht="12.75" hidden="1" customHeight="1" x14ac:dyDescent="0.25">
      <c r="A104" s="386"/>
      <c r="B104" s="432" t="s">
        <v>460</v>
      </c>
      <c r="C104" s="433"/>
      <c r="D104" s="432"/>
      <c r="E104" s="434"/>
      <c r="F104" s="435"/>
      <c r="G104" s="434"/>
      <c r="H104" s="436"/>
      <c r="I104" s="434"/>
      <c r="J104" s="437" t="s">
        <v>430</v>
      </c>
      <c r="K104" s="387"/>
    </row>
    <row r="105" spans="1:14" ht="13" hidden="1" thickBot="1" x14ac:dyDescent="0.3">
      <c r="A105" s="386"/>
      <c r="B105" s="438" t="s">
        <v>461</v>
      </c>
      <c r="C105" s="439"/>
      <c r="D105" s="438"/>
      <c r="E105" s="440"/>
      <c r="F105" s="441"/>
      <c r="G105" s="442"/>
      <c r="H105" s="441"/>
      <c r="I105" s="442"/>
      <c r="J105" s="443"/>
      <c r="K105" s="387"/>
    </row>
    <row r="106" spans="1:14" ht="13" thickBot="1" x14ac:dyDescent="0.3">
      <c r="A106" s="386"/>
      <c r="K106" s="387"/>
    </row>
    <row r="107" spans="1:14" ht="16" thickBot="1" x14ac:dyDescent="0.3">
      <c r="A107" s="386"/>
      <c r="B107" s="389" t="s">
        <v>528</v>
      </c>
      <c r="C107" s="424"/>
      <c r="D107" s="670"/>
      <c r="E107" s="671"/>
      <c r="F107" s="672" t="str">
        <f>F$88</f>
        <v>Quiescent current</v>
      </c>
      <c r="G107" s="672"/>
      <c r="H107" s="670" t="str">
        <f>H$88</f>
        <v>Alarm current</v>
      </c>
      <c r="I107" s="671"/>
      <c r="J107" s="444" t="s">
        <v>511</v>
      </c>
      <c r="K107" s="387"/>
    </row>
    <row r="108" spans="1:14" ht="12.75" customHeight="1" thickBot="1" x14ac:dyDescent="0.3">
      <c r="A108" s="386"/>
      <c r="B108" s="432" t="s">
        <v>423</v>
      </c>
      <c r="C108" s="433"/>
      <c r="D108" s="432"/>
      <c r="E108" s="434"/>
      <c r="F108" s="445">
        <v>0</v>
      </c>
      <c r="G108" s="434" t="s">
        <v>57</v>
      </c>
      <c r="H108" s="445">
        <v>0</v>
      </c>
      <c r="I108" s="434" t="s">
        <v>57</v>
      </c>
      <c r="J108" s="446" t="s">
        <v>540</v>
      </c>
      <c r="K108" s="387"/>
    </row>
    <row r="109" spans="1:14" ht="15.65" hidden="1" customHeight="1" x14ac:dyDescent="0.25">
      <c r="A109" s="386"/>
      <c r="B109" s="447" t="s">
        <v>62</v>
      </c>
      <c r="C109" s="448"/>
      <c r="D109" s="447"/>
      <c r="E109" s="448"/>
      <c r="F109" s="449">
        <v>0</v>
      </c>
      <c r="G109" s="448" t="s">
        <v>57</v>
      </c>
      <c r="H109" s="449">
        <v>0</v>
      </c>
      <c r="I109" s="448" t="s">
        <v>57</v>
      </c>
      <c r="J109" s="450"/>
      <c r="K109" s="387"/>
    </row>
    <row r="110" spans="1:14" ht="18.649999999999999" hidden="1" customHeight="1" thickBot="1" x14ac:dyDescent="0.3">
      <c r="A110" s="386"/>
      <c r="B110" s="451" t="s">
        <v>424</v>
      </c>
      <c r="C110" s="442"/>
      <c r="D110" s="451"/>
      <c r="E110" s="442"/>
      <c r="F110" s="441">
        <v>0</v>
      </c>
      <c r="G110" s="442" t="s">
        <v>57</v>
      </c>
      <c r="H110" s="441">
        <v>0</v>
      </c>
      <c r="I110" s="442" t="s">
        <v>57</v>
      </c>
      <c r="J110" s="452"/>
      <c r="K110" s="387"/>
    </row>
    <row r="111" spans="1:14" hidden="1" x14ac:dyDescent="0.25">
      <c r="A111" s="386"/>
      <c r="B111" s="453"/>
      <c r="C111" s="454"/>
      <c r="D111" s="453"/>
      <c r="E111" s="454"/>
      <c r="F111" s="455"/>
      <c r="G111" s="454"/>
      <c r="H111" s="455"/>
      <c r="I111" s="454"/>
      <c r="J111" s="456"/>
      <c r="K111" s="387"/>
    </row>
    <row r="112" spans="1:14" hidden="1" x14ac:dyDescent="0.25">
      <c r="A112" s="386"/>
      <c r="B112" s="447"/>
      <c r="C112" s="448"/>
      <c r="D112" s="447"/>
      <c r="E112" s="448"/>
      <c r="F112" s="449"/>
      <c r="G112" s="448"/>
      <c r="H112" s="449"/>
      <c r="I112" s="448"/>
      <c r="J112" s="456"/>
      <c r="K112" s="387"/>
    </row>
    <row r="113" spans="1:75" ht="16.5" hidden="1" customHeight="1" thickBot="1" x14ac:dyDescent="0.3">
      <c r="A113" s="386"/>
      <c r="B113" s="451"/>
      <c r="C113" s="442"/>
      <c r="D113" s="451"/>
      <c r="E113" s="442"/>
      <c r="F113" s="441"/>
      <c r="G113" s="442"/>
      <c r="H113" s="441">
        <v>0</v>
      </c>
      <c r="I113" s="442"/>
      <c r="J113" s="457"/>
      <c r="K113" s="387"/>
    </row>
    <row r="114" spans="1:75" ht="16.5" hidden="1" customHeight="1" thickBot="1" x14ac:dyDescent="0.3">
      <c r="A114" s="386"/>
      <c r="B114" s="431"/>
      <c r="C114" s="431"/>
      <c r="D114" s="431"/>
      <c r="E114" s="431"/>
      <c r="K114" s="387"/>
    </row>
    <row r="115" spans="1:75" ht="16" hidden="1" thickBot="1" x14ac:dyDescent="0.3">
      <c r="A115" s="386"/>
      <c r="B115" s="389"/>
      <c r="C115" s="424"/>
      <c r="D115" s="670"/>
      <c r="E115" s="671"/>
      <c r="F115" s="672" t="str">
        <f>F$88</f>
        <v>Quiescent current</v>
      </c>
      <c r="G115" s="672"/>
      <c r="H115" s="670" t="str">
        <f>H$88</f>
        <v>Alarm current</v>
      </c>
      <c r="I115" s="671"/>
      <c r="J115" s="413"/>
      <c r="K115" s="387"/>
    </row>
    <row r="116" spans="1:75" ht="12.75" hidden="1" customHeight="1" x14ac:dyDescent="0.25">
      <c r="A116" s="386"/>
      <c r="B116" s="432"/>
      <c r="C116" s="433"/>
      <c r="D116" s="432"/>
      <c r="E116" s="434"/>
      <c r="F116" s="436"/>
      <c r="G116" s="434"/>
      <c r="H116" s="436"/>
      <c r="I116" s="434"/>
      <c r="J116" s="688"/>
      <c r="K116" s="387"/>
    </row>
    <row r="117" spans="1:75" hidden="1" x14ac:dyDescent="0.25">
      <c r="A117" s="386"/>
      <c r="B117" s="447"/>
      <c r="C117" s="448"/>
      <c r="D117" s="447"/>
      <c r="E117" s="448"/>
      <c r="F117" s="449"/>
      <c r="G117" s="448"/>
      <c r="H117" s="449"/>
      <c r="I117" s="448"/>
      <c r="J117" s="689"/>
      <c r="K117" s="387"/>
    </row>
    <row r="118" spans="1:75" hidden="1" x14ac:dyDescent="0.25">
      <c r="A118" s="386"/>
      <c r="B118" s="447"/>
      <c r="C118" s="448"/>
      <c r="D118" s="447"/>
      <c r="E118" s="448"/>
      <c r="F118" s="449"/>
      <c r="G118" s="448"/>
      <c r="H118" s="449"/>
      <c r="I118" s="448"/>
      <c r="J118" s="689"/>
      <c r="K118" s="387"/>
    </row>
    <row r="119" spans="1:75" hidden="1" x14ac:dyDescent="0.25">
      <c r="A119" s="386"/>
      <c r="B119" s="447"/>
      <c r="C119" s="448"/>
      <c r="D119" s="447"/>
      <c r="E119" s="448"/>
      <c r="F119" s="449"/>
      <c r="G119" s="448"/>
      <c r="H119" s="449"/>
      <c r="I119" s="448"/>
      <c r="J119" s="689"/>
      <c r="K119" s="387"/>
    </row>
    <row r="120" spans="1:75" hidden="1" x14ac:dyDescent="0.25">
      <c r="A120" s="386"/>
      <c r="B120" s="447"/>
      <c r="C120" s="448"/>
      <c r="D120" s="447"/>
      <c r="E120" s="448"/>
      <c r="F120" s="449"/>
      <c r="G120" s="448"/>
      <c r="H120" s="449"/>
      <c r="I120" s="448"/>
      <c r="J120" s="689"/>
      <c r="K120" s="387"/>
    </row>
    <row r="121" spans="1:75" ht="39.65" hidden="1" customHeight="1" thickBot="1" x14ac:dyDescent="0.3">
      <c r="A121" s="386"/>
      <c r="B121" s="451"/>
      <c r="C121" s="442"/>
      <c r="D121" s="451"/>
      <c r="E121" s="442"/>
      <c r="F121" s="441"/>
      <c r="G121" s="442"/>
      <c r="H121" s="441"/>
      <c r="I121" s="442"/>
      <c r="J121" s="690"/>
      <c r="K121" s="387"/>
    </row>
    <row r="122" spans="1:75" s="366" customFormat="1" hidden="1" x14ac:dyDescent="0.25">
      <c r="A122" s="382"/>
      <c r="B122" s="458"/>
      <c r="C122" s="458"/>
      <c r="D122" s="458"/>
      <c r="E122" s="458"/>
      <c r="K122" s="383"/>
      <c r="L122" s="350"/>
      <c r="M122" s="350"/>
      <c r="N122" s="350"/>
      <c r="O122" s="350"/>
      <c r="P122" s="350"/>
      <c r="Q122" s="350"/>
      <c r="R122" s="350"/>
      <c r="S122" s="350"/>
      <c r="T122" s="350"/>
      <c r="U122" s="350"/>
      <c r="V122" s="350"/>
      <c r="W122" s="350"/>
      <c r="X122" s="350"/>
      <c r="Y122" s="350"/>
      <c r="Z122" s="350"/>
      <c r="AA122" s="350"/>
      <c r="AB122" s="350"/>
      <c r="AC122" s="350"/>
      <c r="AD122" s="350"/>
      <c r="AE122" s="350"/>
      <c r="AF122" s="350"/>
      <c r="AG122" s="350"/>
      <c r="AH122" s="350"/>
      <c r="AI122" s="350"/>
      <c r="AJ122" s="350"/>
      <c r="AK122" s="350"/>
      <c r="AL122" s="350"/>
      <c r="AM122" s="350"/>
      <c r="AN122" s="350"/>
      <c r="AO122" s="350"/>
      <c r="AP122" s="350"/>
      <c r="AQ122" s="350"/>
      <c r="AR122" s="350"/>
      <c r="AS122" s="350"/>
      <c r="AT122" s="350"/>
      <c r="AU122" s="350"/>
      <c r="AV122" s="350"/>
      <c r="AW122" s="350"/>
      <c r="AX122" s="350"/>
      <c r="AY122" s="350"/>
      <c r="AZ122" s="350"/>
      <c r="BA122" s="350"/>
      <c r="BB122" s="350"/>
      <c r="BC122" s="350"/>
      <c r="BD122" s="350"/>
      <c r="BE122" s="350"/>
      <c r="BF122" s="350"/>
      <c r="BG122" s="350"/>
      <c r="BH122" s="350"/>
      <c r="BI122" s="350"/>
      <c r="BJ122" s="350"/>
      <c r="BK122" s="350"/>
      <c r="BL122" s="350"/>
      <c r="BM122" s="350"/>
      <c r="BN122" s="350"/>
      <c r="BO122" s="350"/>
      <c r="BP122" s="350"/>
      <c r="BQ122" s="350"/>
      <c r="BR122" s="350"/>
      <c r="BS122" s="350"/>
      <c r="BT122" s="350"/>
      <c r="BU122" s="350"/>
      <c r="BV122" s="350"/>
      <c r="BW122" s="350"/>
    </row>
    <row r="123" spans="1:75" s="371" customFormat="1" hidden="1" x14ac:dyDescent="0.25">
      <c r="A123" s="367"/>
      <c r="B123" s="372" t="s">
        <v>64</v>
      </c>
      <c r="C123" s="372"/>
      <c r="D123" s="373">
        <f>IF(OR(H$100&gt;F$83,AND(H$100&gt;0, H$100+H$101&gt;F$82)),0,1)</f>
        <v>1</v>
      </c>
      <c r="E123" s="373"/>
      <c r="F123" s="373"/>
      <c r="G123" s="376"/>
      <c r="H123" s="376"/>
      <c r="I123" s="373"/>
      <c r="J123" s="373"/>
      <c r="K123" s="370"/>
    </row>
    <row r="124" spans="1:75" s="371" customFormat="1" hidden="1" x14ac:dyDescent="0.25">
      <c r="A124" s="367"/>
      <c r="B124" s="372" t="s">
        <v>65</v>
      </c>
      <c r="C124" s="372"/>
      <c r="D124" s="373">
        <f>IF(OR(H$101&gt;F$83,AND(H$101&gt;0, H$100+H$101&gt;F$82)),0,1)</f>
        <v>1</v>
      </c>
      <c r="E124" s="373"/>
      <c r="F124" s="373"/>
      <c r="G124" s="376"/>
      <c r="H124" s="376"/>
      <c r="I124" s="373"/>
      <c r="J124" s="373"/>
      <c r="K124" s="370"/>
    </row>
    <row r="125" spans="1:75" s="371" customFormat="1" hidden="1" x14ac:dyDescent="0.25">
      <c r="A125" s="367"/>
      <c r="B125" s="372" t="s">
        <v>66</v>
      </c>
      <c r="C125" s="372"/>
      <c r="D125" s="373">
        <f>IF(OR($E$41=5,AND(F104&lt;=F85,H104&lt;=F85,F105&lt;=F85,H105&lt;=F85)),1,0)</f>
        <v>1</v>
      </c>
      <c r="E125" s="373"/>
      <c r="F125" s="373"/>
      <c r="G125" s="376"/>
      <c r="H125" s="376"/>
      <c r="I125" s="373"/>
      <c r="J125" s="373"/>
      <c r="K125" s="370"/>
    </row>
    <row r="126" spans="1:75" s="371" customFormat="1" hidden="1" x14ac:dyDescent="0.25">
      <c r="A126" s="367"/>
      <c r="B126" s="372" t="s">
        <v>67</v>
      </c>
      <c r="C126" s="372"/>
      <c r="D126" s="373">
        <f>IF(OR($E$41=5,AND(F126&lt;=F84,H126&lt;=F84)),1,0)</f>
        <v>1</v>
      </c>
      <c r="E126" s="373"/>
      <c r="F126" s="403">
        <f>SUM(F108:F113)</f>
        <v>0</v>
      </c>
      <c r="G126" s="376" t="s">
        <v>57</v>
      </c>
      <c r="H126" s="403">
        <f>SUM(H108:H113)</f>
        <v>0</v>
      </c>
      <c r="I126" s="376" t="s">
        <v>57</v>
      </c>
      <c r="J126" s="373"/>
      <c r="K126" s="370"/>
    </row>
    <row r="127" spans="1:75" s="371" customFormat="1" hidden="1" x14ac:dyDescent="0.25">
      <c r="A127" s="367"/>
      <c r="B127" s="372" t="s">
        <v>68</v>
      </c>
      <c r="C127" s="372"/>
      <c r="D127" s="373">
        <f>IF(OR($E$41=1,$E$41=5,AND(F127&lt;=F84,H127&lt;=F84)),1,0)</f>
        <v>1</v>
      </c>
      <c r="E127" s="373"/>
      <c r="F127" s="403">
        <f>SUM(F116:F121)</f>
        <v>0</v>
      </c>
      <c r="G127" s="376" t="s">
        <v>57</v>
      </c>
      <c r="H127" s="403">
        <f>SUM(H116:H121)</f>
        <v>0</v>
      </c>
      <c r="I127" s="376" t="s">
        <v>57</v>
      </c>
      <c r="J127" s="373"/>
      <c r="K127" s="370"/>
    </row>
    <row r="128" spans="1:75" ht="13" thickBot="1" x14ac:dyDescent="0.3">
      <c r="A128" s="386"/>
      <c r="K128" s="387"/>
    </row>
    <row r="129" spans="1:11" ht="16" thickBot="1" x14ac:dyDescent="0.4">
      <c r="A129" s="673" t="s">
        <v>69</v>
      </c>
      <c r="B129" s="674"/>
      <c r="C129" s="674"/>
      <c r="D129" s="674"/>
      <c r="E129" s="674"/>
      <c r="F129" s="674"/>
      <c r="G129" s="674"/>
      <c r="H129" s="674"/>
      <c r="I129" s="674"/>
      <c r="J129" s="674"/>
      <c r="K129" s="675"/>
    </row>
    <row r="130" spans="1:11" ht="13" thickBot="1" x14ac:dyDescent="0.3">
      <c r="A130" s="386"/>
      <c r="K130" s="387"/>
    </row>
    <row r="131" spans="1:11" ht="16" hidden="1" thickBot="1" x14ac:dyDescent="0.3">
      <c r="A131" s="386"/>
      <c r="B131" s="389" t="s">
        <v>70</v>
      </c>
      <c r="C131" s="424"/>
      <c r="D131" s="670" t="s">
        <v>71</v>
      </c>
      <c r="E131" s="671"/>
      <c r="F131" s="672" t="s">
        <v>514</v>
      </c>
      <c r="G131" s="672"/>
      <c r="H131" s="670" t="s">
        <v>515</v>
      </c>
      <c r="I131" s="671"/>
      <c r="J131" s="413" t="str">
        <f>J$88</f>
        <v>Remarks</v>
      </c>
      <c r="K131" s="387"/>
    </row>
    <row r="132" spans="1:11" hidden="1" x14ac:dyDescent="0.25">
      <c r="A132" s="386"/>
      <c r="B132" s="459"/>
      <c r="C132" s="460"/>
      <c r="D132" s="461"/>
      <c r="E132" s="462" t="s">
        <v>73</v>
      </c>
      <c r="F132" s="463">
        <f>Panel_comp!L74+Panel_comp!L75</f>
        <v>0</v>
      </c>
      <c r="G132" s="434" t="s">
        <v>51</v>
      </c>
      <c r="H132" s="463">
        <f>Panel_comp!M74+Panel_comp!M75</f>
        <v>0</v>
      </c>
      <c r="I132" s="434" t="s">
        <v>51</v>
      </c>
      <c r="J132" s="434"/>
      <c r="K132" s="387"/>
    </row>
    <row r="133" spans="1:11" hidden="1" x14ac:dyDescent="0.25">
      <c r="A133" s="386"/>
      <c r="B133" s="464"/>
      <c r="C133" s="465"/>
      <c r="D133" s="466"/>
      <c r="E133" s="467" t="s">
        <v>73</v>
      </c>
      <c r="F133" s="468">
        <f>Panel_comp!L76</f>
        <v>0</v>
      </c>
      <c r="G133" s="448" t="s">
        <v>51</v>
      </c>
      <c r="H133" s="468">
        <f>Panel_comp!M76</f>
        <v>0</v>
      </c>
      <c r="I133" s="448" t="s">
        <v>51</v>
      </c>
      <c r="J133" s="448"/>
      <c r="K133" s="387"/>
    </row>
    <row r="134" spans="1:11" ht="13" hidden="1" thickBot="1" x14ac:dyDescent="0.3">
      <c r="A134" s="386"/>
      <c r="B134" s="469"/>
      <c r="C134" s="470"/>
      <c r="D134" s="471"/>
      <c r="E134" s="472" t="s">
        <v>73</v>
      </c>
      <c r="F134" s="473">
        <f>Panel_comp!L77</f>
        <v>0</v>
      </c>
      <c r="G134" s="474" t="s">
        <v>51</v>
      </c>
      <c r="H134" s="473">
        <f>Panel_comp!M77</f>
        <v>0</v>
      </c>
      <c r="I134" s="474" t="s">
        <v>51</v>
      </c>
      <c r="J134" s="474"/>
      <c r="K134" s="387"/>
    </row>
    <row r="135" spans="1:11" ht="13" hidden="1" thickBot="1" x14ac:dyDescent="0.3">
      <c r="A135" s="386"/>
      <c r="K135" s="387"/>
    </row>
    <row r="136" spans="1:11" ht="16" thickBot="1" x14ac:dyDescent="0.3">
      <c r="A136" s="386"/>
      <c r="B136" s="389" t="s">
        <v>75</v>
      </c>
      <c r="C136" s="424"/>
      <c r="D136" s="670" t="s">
        <v>431</v>
      </c>
      <c r="E136" s="671"/>
      <c r="F136" s="670" t="str">
        <f>F$131</f>
        <v>Quiescent power</v>
      </c>
      <c r="G136" s="672"/>
      <c r="H136" s="670" t="str">
        <f>H$131</f>
        <v>Alarm power</v>
      </c>
      <c r="I136" s="671"/>
      <c r="J136" s="413" t="str">
        <f>J$88</f>
        <v>Remarks</v>
      </c>
      <c r="K136" s="387"/>
    </row>
    <row r="137" spans="1:11" ht="19.5" customHeight="1" x14ac:dyDescent="0.25">
      <c r="A137" s="386"/>
      <c r="B137" s="432" t="s">
        <v>536</v>
      </c>
      <c r="C137" s="434"/>
      <c r="D137" s="691" t="s">
        <v>433</v>
      </c>
      <c r="E137" s="692"/>
      <c r="F137" s="463">
        <f>Panel_comp!L80</f>
        <v>0</v>
      </c>
      <c r="G137" s="434" t="s">
        <v>51</v>
      </c>
      <c r="H137" s="463">
        <f>Panel_comp!M80</f>
        <v>0</v>
      </c>
      <c r="I137" s="434" t="s">
        <v>51</v>
      </c>
      <c r="J137" s="475" t="s">
        <v>498</v>
      </c>
      <c r="K137" s="387"/>
    </row>
    <row r="138" spans="1:11" ht="13" thickBot="1" x14ac:dyDescent="0.3">
      <c r="A138" s="386"/>
      <c r="B138" s="476" t="s">
        <v>434</v>
      </c>
      <c r="C138" s="477" t="str">
        <f>VLOOKUP(D138,Panel_comp!A81:B83,2)</f>
        <v>-</v>
      </c>
      <c r="D138" s="693" t="s">
        <v>500</v>
      </c>
      <c r="E138" s="694"/>
      <c r="F138" s="478">
        <f>VLOOKUP(D138,Panel_comp!A81:M83,12)</f>
        <v>0</v>
      </c>
      <c r="G138" s="442" t="s">
        <v>51</v>
      </c>
      <c r="H138" s="478">
        <f>VLOOKUP(D138,Panel_comp!A81:M83,13)</f>
        <v>0</v>
      </c>
      <c r="I138" s="442" t="s">
        <v>51</v>
      </c>
      <c r="J138" s="479"/>
      <c r="K138" s="387"/>
    </row>
    <row r="139" spans="1:11" ht="13" thickBot="1" x14ac:dyDescent="0.3">
      <c r="A139" s="386"/>
      <c r="B139" s="480"/>
      <c r="C139" s="480"/>
      <c r="F139" s="400"/>
      <c r="H139" s="400"/>
      <c r="K139" s="387"/>
    </row>
    <row r="140" spans="1:11" ht="13" hidden="1" thickBot="1" x14ac:dyDescent="0.3">
      <c r="A140" s="386"/>
      <c r="K140" s="387"/>
    </row>
    <row r="141" spans="1:11" ht="16" hidden="1" thickBot="1" x14ac:dyDescent="0.3">
      <c r="A141" s="386"/>
      <c r="B141" s="388" t="s">
        <v>80</v>
      </c>
      <c r="C141" s="481"/>
      <c r="D141" s="685" t="str">
        <f>D131</f>
        <v>Quantity</v>
      </c>
      <c r="E141" s="686"/>
      <c r="F141" s="685" t="str">
        <f>F$88</f>
        <v>Quiescent current</v>
      </c>
      <c r="G141" s="687"/>
      <c r="H141" s="685" t="str">
        <f>H$88</f>
        <v>Alarm current</v>
      </c>
      <c r="I141" s="686"/>
      <c r="J141" s="444" t="str">
        <f>J$88</f>
        <v>Remarks</v>
      </c>
      <c r="K141" s="387"/>
    </row>
    <row r="142" spans="1:11" ht="25" hidden="1" x14ac:dyDescent="0.25">
      <c r="A142" s="386"/>
      <c r="B142" s="482"/>
      <c r="C142" s="483"/>
      <c r="D142" s="484">
        <v>0</v>
      </c>
      <c r="E142" s="485" t="s">
        <v>73</v>
      </c>
      <c r="F142" s="486">
        <v>0.05</v>
      </c>
      <c r="G142" s="485" t="s">
        <v>57</v>
      </c>
      <c r="H142" s="486">
        <v>0.06</v>
      </c>
      <c r="I142" s="485" t="s">
        <v>57</v>
      </c>
      <c r="J142" s="487" t="s">
        <v>82</v>
      </c>
      <c r="K142" s="387"/>
    </row>
    <row r="143" spans="1:11" ht="13" hidden="1" thickBot="1" x14ac:dyDescent="0.3">
      <c r="A143" s="386"/>
      <c r="B143" s="488"/>
      <c r="C143" s="489"/>
      <c r="D143" s="488"/>
      <c r="E143" s="474"/>
      <c r="F143" s="490"/>
      <c r="G143" s="474"/>
      <c r="H143" s="490"/>
      <c r="I143" s="474"/>
      <c r="J143" s="491" t="s">
        <v>83</v>
      </c>
      <c r="K143" s="387"/>
    </row>
    <row r="144" spans="1:11" ht="13" hidden="1" thickBot="1" x14ac:dyDescent="0.3">
      <c r="A144" s="386"/>
      <c r="C144" s="480"/>
      <c r="K144" s="387"/>
    </row>
    <row r="145" spans="1:11" ht="16" hidden="1" thickBot="1" x14ac:dyDescent="0.3">
      <c r="A145" s="386"/>
      <c r="B145" s="389" t="s">
        <v>84</v>
      </c>
      <c r="C145" s="424"/>
      <c r="D145" s="670" t="str">
        <f>D131</f>
        <v>Quantity</v>
      </c>
      <c r="E145" s="671"/>
      <c r="F145" s="670" t="str">
        <f>F$88</f>
        <v>Quiescent current</v>
      </c>
      <c r="G145" s="671"/>
      <c r="H145" s="672" t="str">
        <f>H$88</f>
        <v>Alarm current</v>
      </c>
      <c r="I145" s="671"/>
      <c r="J145" s="413" t="str">
        <f>J$88</f>
        <v>Remarks</v>
      </c>
      <c r="K145" s="387"/>
    </row>
    <row r="146" spans="1:11" hidden="1" x14ac:dyDescent="0.25">
      <c r="A146" s="386"/>
      <c r="B146" s="432" t="s">
        <v>84</v>
      </c>
      <c r="C146" s="434"/>
      <c r="D146" s="492">
        <v>0</v>
      </c>
      <c r="E146" s="434" t="s">
        <v>73</v>
      </c>
      <c r="F146" s="493">
        <f>Panel_comp!J88</f>
        <v>0</v>
      </c>
      <c r="G146" s="434" t="s">
        <v>57</v>
      </c>
      <c r="H146" s="493">
        <f>Panel_comp!K88</f>
        <v>0</v>
      </c>
      <c r="I146" s="434" t="s">
        <v>57</v>
      </c>
      <c r="J146" s="475"/>
      <c r="K146" s="387"/>
    </row>
    <row r="147" spans="1:11" hidden="1" x14ac:dyDescent="0.25">
      <c r="A147" s="386"/>
      <c r="B147" s="494" t="s">
        <v>85</v>
      </c>
      <c r="C147" s="448"/>
      <c r="D147" s="447"/>
      <c r="E147" s="448"/>
      <c r="F147" s="449">
        <v>0</v>
      </c>
      <c r="G147" s="448" t="s">
        <v>57</v>
      </c>
      <c r="H147" s="449">
        <v>0</v>
      </c>
      <c r="I147" s="448" t="s">
        <v>57</v>
      </c>
      <c r="J147" s="495"/>
      <c r="K147" s="387"/>
    </row>
    <row r="148" spans="1:11" hidden="1" x14ac:dyDescent="0.25">
      <c r="A148" s="386"/>
      <c r="B148" s="447" t="s">
        <v>353</v>
      </c>
      <c r="C148" s="448"/>
      <c r="D148" s="447"/>
      <c r="E148" s="448"/>
      <c r="F148" s="449">
        <v>0</v>
      </c>
      <c r="G148" s="448" t="s">
        <v>57</v>
      </c>
      <c r="H148" s="449">
        <v>0</v>
      </c>
      <c r="I148" s="448" t="s">
        <v>57</v>
      </c>
      <c r="J148" s="495"/>
      <c r="K148" s="387"/>
    </row>
    <row r="149" spans="1:11" hidden="1" x14ac:dyDescent="0.25">
      <c r="A149" s="386"/>
      <c r="B149" s="494" t="s">
        <v>86</v>
      </c>
      <c r="C149" s="448"/>
      <c r="D149" s="447"/>
      <c r="E149" s="448"/>
      <c r="F149" s="449">
        <v>0</v>
      </c>
      <c r="G149" s="448" t="s">
        <v>57</v>
      </c>
      <c r="H149" s="449">
        <v>0</v>
      </c>
      <c r="I149" s="448" t="s">
        <v>57</v>
      </c>
      <c r="J149" s="495"/>
      <c r="K149" s="387"/>
    </row>
    <row r="150" spans="1:11" hidden="1" x14ac:dyDescent="0.25">
      <c r="A150" s="386"/>
      <c r="B150" s="447" t="s">
        <v>87</v>
      </c>
      <c r="C150" s="448"/>
      <c r="D150" s="447"/>
      <c r="E150" s="448"/>
      <c r="F150" s="449">
        <v>0</v>
      </c>
      <c r="G150" s="448" t="s">
        <v>57</v>
      </c>
      <c r="H150" s="449">
        <v>0</v>
      </c>
      <c r="I150" s="448" t="s">
        <v>57</v>
      </c>
      <c r="J150" s="495"/>
      <c r="K150" s="387"/>
    </row>
    <row r="151" spans="1:11" hidden="1" x14ac:dyDescent="0.25">
      <c r="A151" s="386"/>
      <c r="B151" s="447" t="s">
        <v>88</v>
      </c>
      <c r="C151" s="448"/>
      <c r="D151" s="447"/>
      <c r="E151" s="448"/>
      <c r="F151" s="449">
        <v>0</v>
      </c>
      <c r="G151" s="448" t="s">
        <v>57</v>
      </c>
      <c r="H151" s="449">
        <v>0</v>
      </c>
      <c r="I151" s="448" t="s">
        <v>57</v>
      </c>
      <c r="J151" s="495"/>
      <c r="K151" s="387"/>
    </row>
    <row r="152" spans="1:11" hidden="1" x14ac:dyDescent="0.25">
      <c r="A152" s="386"/>
      <c r="B152" s="447" t="s">
        <v>89</v>
      </c>
      <c r="C152" s="448"/>
      <c r="D152" s="447"/>
      <c r="E152" s="448"/>
      <c r="F152" s="449">
        <v>0</v>
      </c>
      <c r="G152" s="448" t="s">
        <v>57</v>
      </c>
      <c r="H152" s="449">
        <v>0</v>
      </c>
      <c r="I152" s="448" t="s">
        <v>57</v>
      </c>
      <c r="J152" s="495"/>
      <c r="K152" s="387"/>
    </row>
    <row r="153" spans="1:11" ht="13" hidden="1" thickBot="1" x14ac:dyDescent="0.3">
      <c r="A153" s="386"/>
      <c r="B153" s="451" t="s">
        <v>351</v>
      </c>
      <c r="C153" s="442"/>
      <c r="D153" s="451"/>
      <c r="E153" s="442"/>
      <c r="F153" s="441">
        <v>0</v>
      </c>
      <c r="G153" s="442" t="s">
        <v>57</v>
      </c>
      <c r="H153" s="441">
        <v>0</v>
      </c>
      <c r="I153" s="442" t="s">
        <v>57</v>
      </c>
      <c r="J153" s="479"/>
      <c r="K153" s="387"/>
    </row>
    <row r="154" spans="1:11" ht="13" hidden="1" thickBot="1" x14ac:dyDescent="0.3">
      <c r="A154" s="386"/>
      <c r="K154" s="387"/>
    </row>
    <row r="155" spans="1:11" ht="16" thickBot="1" x14ac:dyDescent="0.3">
      <c r="A155" s="386"/>
      <c r="B155" s="388" t="s">
        <v>516</v>
      </c>
      <c r="C155" s="481"/>
      <c r="D155" s="685" t="s">
        <v>431</v>
      </c>
      <c r="E155" s="686"/>
      <c r="F155" s="687" t="str">
        <f>F$131</f>
        <v>Quiescent power</v>
      </c>
      <c r="G155" s="687"/>
      <c r="H155" s="685" t="str">
        <f>H$131</f>
        <v>Alarm power</v>
      </c>
      <c r="I155" s="686"/>
      <c r="J155" s="444" t="str">
        <f>J$88</f>
        <v>Remarks</v>
      </c>
      <c r="K155" s="387"/>
    </row>
    <row r="156" spans="1:11" ht="13" thickBot="1" x14ac:dyDescent="0.3">
      <c r="A156" s="386"/>
      <c r="B156" s="425" t="str">
        <f>D156</f>
        <v>No module</v>
      </c>
      <c r="C156" s="496" t="str">
        <f>VLOOKUP(D156,Panel_comp!A97:B99,2,0)</f>
        <v>-</v>
      </c>
      <c r="D156" s="684" t="s">
        <v>500</v>
      </c>
      <c r="E156" s="683"/>
      <c r="F156" s="497">
        <f>VLOOKUP(D156,Panel_comp!A97:M99,12,0)</f>
        <v>0</v>
      </c>
      <c r="G156" s="422" t="s">
        <v>51</v>
      </c>
      <c r="H156" s="497">
        <f>VLOOKUP(D156,Panel_comp!A97:M99,13,0)</f>
        <v>0</v>
      </c>
      <c r="I156" s="422" t="s">
        <v>51</v>
      </c>
      <c r="J156" s="540" t="str">
        <f>VLOOKUP(D156,Panel_comp!A97:O99,15,0)</f>
        <v>-</v>
      </c>
      <c r="K156" s="387"/>
    </row>
    <row r="157" spans="1:11" ht="13" thickBot="1" x14ac:dyDescent="0.3">
      <c r="A157" s="386"/>
      <c r="C157" s="480"/>
      <c r="F157" s="400"/>
      <c r="H157" s="400"/>
      <c r="J157" s="400"/>
      <c r="K157" s="387"/>
    </row>
    <row r="158" spans="1:11" ht="16" thickBot="1" x14ac:dyDescent="0.3">
      <c r="A158" s="386"/>
      <c r="B158" s="389" t="str">
        <f>Panel_comp!A100</f>
        <v>Output card (4M)</v>
      </c>
      <c r="C158" s="424"/>
      <c r="D158" s="670" t="s">
        <v>431</v>
      </c>
      <c r="E158" s="671"/>
      <c r="F158" s="672" t="str">
        <f>F136</f>
        <v>Quiescent power</v>
      </c>
      <c r="G158" s="672"/>
      <c r="H158" s="670" t="str">
        <f>H136</f>
        <v>Alarm power</v>
      </c>
      <c r="I158" s="671"/>
      <c r="J158" s="413" t="str">
        <f>J136</f>
        <v>Remarks</v>
      </c>
      <c r="K158" s="387"/>
    </row>
    <row r="159" spans="1:11" ht="13" thickBot="1" x14ac:dyDescent="0.3">
      <c r="A159" s="386"/>
      <c r="B159" s="425" t="str">
        <f>Panel_comp!A101</f>
        <v>Output card (4M)</v>
      </c>
      <c r="C159" s="498" t="str">
        <f>IF(D159="YES",Panel_comp!B101,"-")</f>
        <v>-</v>
      </c>
      <c r="D159" s="682" t="s">
        <v>433</v>
      </c>
      <c r="E159" s="683"/>
      <c r="F159" s="499">
        <f>Panel_comp!L101</f>
        <v>0</v>
      </c>
      <c r="G159" s="422" t="s">
        <v>51</v>
      </c>
      <c r="H159" s="499">
        <f>Panel_comp!M101</f>
        <v>0</v>
      </c>
      <c r="I159" s="420" t="s">
        <v>51</v>
      </c>
      <c r="J159" s="500" t="s">
        <v>435</v>
      </c>
      <c r="K159" s="387"/>
    </row>
    <row r="160" spans="1:11" ht="13" hidden="1" thickBot="1" x14ac:dyDescent="0.3">
      <c r="A160" s="386"/>
      <c r="B160" s="427" t="s">
        <v>530</v>
      </c>
      <c r="C160" s="428"/>
      <c r="D160" s="684" t="s">
        <v>955</v>
      </c>
      <c r="E160" s="683"/>
      <c r="F160" s="430"/>
      <c r="G160" s="422"/>
      <c r="H160" s="430"/>
      <c r="I160" s="430"/>
      <c r="J160" s="501" t="s">
        <v>437</v>
      </c>
      <c r="K160" s="387"/>
    </row>
    <row r="161" spans="1:11" ht="16" hidden="1" thickBot="1" x14ac:dyDescent="0.3">
      <c r="A161" s="386"/>
      <c r="B161" s="388" t="s">
        <v>529</v>
      </c>
      <c r="C161" s="481"/>
      <c r="D161" s="685" t="s">
        <v>436</v>
      </c>
      <c r="E161" s="686"/>
      <c r="F161" s="687" t="str">
        <f>F136</f>
        <v>Quiescent power</v>
      </c>
      <c r="G161" s="687"/>
      <c r="H161" s="685" t="str">
        <f>H136</f>
        <v>Alarm power</v>
      </c>
      <c r="I161" s="686"/>
      <c r="J161" s="413" t="s">
        <v>511</v>
      </c>
      <c r="K161" s="387"/>
    </row>
    <row r="162" spans="1:11" hidden="1" x14ac:dyDescent="0.25">
      <c r="A162" s="386"/>
      <c r="B162" s="447" t="s">
        <v>438</v>
      </c>
      <c r="C162" s="448"/>
      <c r="D162" s="679" t="s">
        <v>445</v>
      </c>
      <c r="E162" s="679"/>
      <c r="F162" s="502">
        <v>0</v>
      </c>
      <c r="G162" s="448" t="s">
        <v>57</v>
      </c>
      <c r="H162" s="503">
        <v>0</v>
      </c>
      <c r="I162" s="448" t="s">
        <v>57</v>
      </c>
      <c r="J162" s="676" t="s">
        <v>440</v>
      </c>
      <c r="K162" s="387"/>
    </row>
    <row r="163" spans="1:11" hidden="1" x14ac:dyDescent="0.25">
      <c r="A163" s="386"/>
      <c r="B163" s="447" t="s">
        <v>441</v>
      </c>
      <c r="C163" s="448"/>
      <c r="D163" s="679" t="s">
        <v>443</v>
      </c>
      <c r="E163" s="679"/>
      <c r="F163" s="504">
        <v>0</v>
      </c>
      <c r="G163" s="448" t="s">
        <v>57</v>
      </c>
      <c r="H163" s="503">
        <v>0</v>
      </c>
      <c r="I163" s="448" t="s">
        <v>57</v>
      </c>
      <c r="J163" s="677"/>
      <c r="K163" s="387"/>
    </row>
    <row r="164" spans="1:11" hidden="1" x14ac:dyDescent="0.25">
      <c r="A164" s="386"/>
      <c r="B164" s="447" t="s">
        <v>442</v>
      </c>
      <c r="C164" s="448"/>
      <c r="D164" s="679" t="s">
        <v>439</v>
      </c>
      <c r="E164" s="680"/>
      <c r="F164" s="502">
        <v>0</v>
      </c>
      <c r="G164" s="448" t="s">
        <v>57</v>
      </c>
      <c r="H164" s="503">
        <v>0</v>
      </c>
      <c r="I164" s="448" t="s">
        <v>57</v>
      </c>
      <c r="J164" s="677"/>
      <c r="K164" s="387"/>
    </row>
    <row r="165" spans="1:11" ht="13" hidden="1" thickBot="1" x14ac:dyDescent="0.3">
      <c r="A165" s="386"/>
      <c r="B165" s="451" t="s">
        <v>444</v>
      </c>
      <c r="C165" s="440"/>
      <c r="D165" s="681" t="s">
        <v>451</v>
      </c>
      <c r="E165" s="681"/>
      <c r="F165" s="505">
        <v>0</v>
      </c>
      <c r="G165" s="442" t="s">
        <v>57</v>
      </c>
      <c r="H165" s="506">
        <v>0</v>
      </c>
      <c r="I165" s="442" t="s">
        <v>57</v>
      </c>
      <c r="J165" s="678"/>
      <c r="K165" s="387"/>
    </row>
    <row r="166" spans="1:11" ht="16" hidden="1" thickBot="1" x14ac:dyDescent="0.3">
      <c r="A166" s="386"/>
      <c r="B166" s="388"/>
      <c r="C166" s="481"/>
      <c r="D166" s="670"/>
      <c r="E166" s="671"/>
      <c r="F166" s="672"/>
      <c r="G166" s="672"/>
      <c r="H166" s="670"/>
      <c r="I166" s="671"/>
      <c r="J166" s="413"/>
      <c r="K166" s="387"/>
    </row>
    <row r="167" spans="1:11" ht="13" hidden="1" thickBot="1" x14ac:dyDescent="0.3">
      <c r="A167" s="386"/>
      <c r="B167" s="507"/>
      <c r="C167" s="508"/>
      <c r="D167" s="682"/>
      <c r="E167" s="683"/>
      <c r="F167" s="420"/>
      <c r="G167" s="420"/>
      <c r="H167" s="425"/>
      <c r="I167" s="420"/>
      <c r="J167" s="500"/>
      <c r="K167" s="387"/>
    </row>
    <row r="168" spans="1:11" x14ac:dyDescent="0.25">
      <c r="A168" s="386"/>
      <c r="C168" s="480"/>
      <c r="F168" s="400"/>
      <c r="H168" s="400"/>
      <c r="J168" s="400"/>
      <c r="K168" s="387"/>
    </row>
    <row r="169" spans="1:11" hidden="1" x14ac:dyDescent="0.25">
      <c r="A169" s="386"/>
      <c r="B169" s="366"/>
      <c r="C169" s="366"/>
      <c r="D169" s="366"/>
      <c r="E169" s="366"/>
      <c r="F169" s="366"/>
      <c r="G169" s="366"/>
      <c r="H169" s="366"/>
      <c r="I169" s="366"/>
      <c r="J169" s="400"/>
      <c r="K169" s="387"/>
    </row>
    <row r="170" spans="1:11" hidden="1" x14ac:dyDescent="0.25">
      <c r="A170" s="386"/>
      <c r="B170" s="366" t="s">
        <v>459</v>
      </c>
      <c r="C170" s="366"/>
      <c r="D170" s="366"/>
      <c r="E170" s="366"/>
      <c r="F170" s="366">
        <v>2</v>
      </c>
      <c r="G170" s="366" t="s">
        <v>57</v>
      </c>
      <c r="H170" s="366">
        <v>2</v>
      </c>
      <c r="I170" s="366" t="s">
        <v>57</v>
      </c>
      <c r="J170" s="400"/>
      <c r="K170" s="387"/>
    </row>
    <row r="171" spans="1:11" hidden="1" x14ac:dyDescent="0.25">
      <c r="A171" s="386"/>
      <c r="B171" s="366" t="s">
        <v>136</v>
      </c>
      <c r="C171" s="366"/>
      <c r="D171" s="366"/>
      <c r="E171" s="366"/>
      <c r="F171" s="366">
        <f>Panel_comp!C21</f>
        <v>1</v>
      </c>
      <c r="G171" s="366" t="s">
        <v>57</v>
      </c>
      <c r="H171" s="366">
        <f>Panel_comp!C21</f>
        <v>1</v>
      </c>
      <c r="I171" s="366" t="s">
        <v>57</v>
      </c>
      <c r="J171" s="400"/>
      <c r="K171" s="387"/>
    </row>
    <row r="172" spans="1:11" hidden="1" x14ac:dyDescent="0.25">
      <c r="A172" s="386"/>
      <c r="B172" s="366"/>
      <c r="C172" s="366"/>
      <c r="D172" s="366"/>
      <c r="E172" s="366"/>
      <c r="F172" s="366"/>
      <c r="G172" s="366"/>
      <c r="H172" s="366"/>
      <c r="I172" s="366"/>
      <c r="J172" s="400"/>
      <c r="K172" s="387"/>
    </row>
    <row r="173" spans="1:11" hidden="1" x14ac:dyDescent="0.25">
      <c r="A173" s="386"/>
      <c r="B173" s="366"/>
      <c r="C173" s="366"/>
      <c r="D173" s="366"/>
      <c r="E173" s="366"/>
      <c r="F173" s="366"/>
      <c r="G173" s="366"/>
      <c r="H173" s="366"/>
      <c r="I173" s="366"/>
      <c r="J173" s="400"/>
      <c r="K173" s="387"/>
    </row>
    <row r="174" spans="1:11" hidden="1" x14ac:dyDescent="0.25">
      <c r="A174" s="386"/>
      <c r="B174" s="366" t="s">
        <v>449</v>
      </c>
      <c r="C174" s="366"/>
      <c r="D174" s="366">
        <f>VLOOKUP(D159,B175:D176,3,FALSE)</f>
        <v>0</v>
      </c>
      <c r="E174" s="366"/>
      <c r="F174" s="509">
        <f>Panel_comp!L101</f>
        <v>0</v>
      </c>
      <c r="G174" s="366" t="s">
        <v>51</v>
      </c>
      <c r="H174" s="509">
        <f>Panel_comp!M101</f>
        <v>0</v>
      </c>
      <c r="I174" s="366" t="s">
        <v>51</v>
      </c>
      <c r="J174" s="400"/>
      <c r="K174" s="387"/>
    </row>
    <row r="175" spans="1:11" hidden="1" x14ac:dyDescent="0.25">
      <c r="A175" s="386"/>
      <c r="B175" s="366" t="s">
        <v>433</v>
      </c>
      <c r="C175" s="366"/>
      <c r="D175" s="366">
        <v>0</v>
      </c>
      <c r="E175" s="366"/>
      <c r="F175" s="366"/>
      <c r="G175" s="366"/>
      <c r="H175" s="366"/>
      <c r="I175" s="366"/>
      <c r="J175" s="400"/>
      <c r="K175" s="387"/>
    </row>
    <row r="176" spans="1:11" hidden="1" x14ac:dyDescent="0.25">
      <c r="A176" s="386"/>
      <c r="B176" s="366" t="s">
        <v>432</v>
      </c>
      <c r="C176" s="366"/>
      <c r="D176" s="366">
        <v>1</v>
      </c>
      <c r="E176" s="366"/>
      <c r="F176" s="366"/>
      <c r="G176" s="366"/>
      <c r="H176" s="366"/>
      <c r="I176" s="366"/>
      <c r="J176" s="400"/>
      <c r="K176" s="387"/>
    </row>
    <row r="177" spans="1:11" hidden="1" x14ac:dyDescent="0.25">
      <c r="A177" s="386"/>
      <c r="B177" s="366"/>
      <c r="C177" s="366"/>
      <c r="D177" s="366"/>
      <c r="E177" s="366"/>
      <c r="F177" s="366"/>
      <c r="G177" s="366"/>
      <c r="H177" s="366"/>
      <c r="I177" s="366"/>
      <c r="J177" s="400"/>
      <c r="K177" s="387"/>
    </row>
    <row r="178" spans="1:11" hidden="1" x14ac:dyDescent="0.25">
      <c r="A178" s="386"/>
      <c r="B178" s="366"/>
      <c r="C178" s="366"/>
      <c r="D178" s="366"/>
      <c r="E178" s="366"/>
      <c r="F178" s="366"/>
      <c r="G178" s="366"/>
      <c r="H178" s="366"/>
      <c r="I178" s="366"/>
      <c r="J178" s="400"/>
      <c r="K178" s="387"/>
    </row>
    <row r="179" spans="1:11" hidden="1" x14ac:dyDescent="0.25">
      <c r="A179" s="386"/>
      <c r="B179" s="366" t="s">
        <v>452</v>
      </c>
      <c r="C179" s="366"/>
      <c r="D179" s="366">
        <f>VLOOKUP(D160,B180:D181,3,FALSE)</f>
        <v>1</v>
      </c>
      <c r="E179" s="366"/>
      <c r="F179" s="366"/>
      <c r="G179" s="366"/>
      <c r="H179" s="366"/>
      <c r="I179" s="366"/>
      <c r="J179" s="400"/>
      <c r="K179" s="387"/>
    </row>
    <row r="180" spans="1:11" hidden="1" x14ac:dyDescent="0.25">
      <c r="A180" s="386"/>
      <c r="B180" s="366" t="s">
        <v>436</v>
      </c>
      <c r="C180" s="366"/>
      <c r="D180" s="366">
        <v>1</v>
      </c>
      <c r="E180" s="366"/>
      <c r="F180" s="366"/>
      <c r="G180" s="366"/>
      <c r="H180" s="366"/>
      <c r="I180" s="366"/>
      <c r="J180" s="400"/>
      <c r="K180" s="387"/>
    </row>
    <row r="181" spans="1:11" hidden="1" x14ac:dyDescent="0.25">
      <c r="A181" s="386"/>
      <c r="B181" s="366" t="s">
        <v>453</v>
      </c>
      <c r="C181" s="366"/>
      <c r="D181" s="366">
        <v>0</v>
      </c>
      <c r="E181" s="366"/>
      <c r="F181" s="366"/>
      <c r="G181" s="366"/>
      <c r="H181" s="366"/>
      <c r="I181" s="366"/>
      <c r="J181" s="400"/>
      <c r="K181" s="387"/>
    </row>
    <row r="182" spans="1:11" hidden="1" x14ac:dyDescent="0.25">
      <c r="A182" s="386"/>
      <c r="B182" s="366"/>
      <c r="C182" s="366"/>
      <c r="D182" s="366"/>
      <c r="E182" s="366"/>
      <c r="F182" s="366"/>
      <c r="G182" s="366"/>
      <c r="H182" s="366"/>
      <c r="I182" s="366"/>
      <c r="J182" s="400"/>
      <c r="K182" s="387"/>
    </row>
    <row r="183" spans="1:11" hidden="1" x14ac:dyDescent="0.25">
      <c r="A183" s="386"/>
      <c r="B183" s="366"/>
      <c r="C183" s="366"/>
      <c r="D183" s="366"/>
      <c r="E183" s="366"/>
      <c r="F183" s="366"/>
      <c r="G183" s="366"/>
      <c r="H183" s="366"/>
      <c r="I183" s="366"/>
      <c r="J183" s="400"/>
      <c r="K183" s="387"/>
    </row>
    <row r="184" spans="1:11" hidden="1" x14ac:dyDescent="0.25">
      <c r="A184" s="386"/>
      <c r="B184" s="366" t="s">
        <v>450</v>
      </c>
      <c r="C184" s="366"/>
      <c r="D184" s="366"/>
      <c r="E184" s="366"/>
      <c r="F184" s="366"/>
      <c r="G184" s="366"/>
      <c r="H184" s="366"/>
      <c r="I184" s="366"/>
      <c r="J184" s="400"/>
      <c r="K184" s="387"/>
    </row>
    <row r="185" spans="1:11" hidden="1" x14ac:dyDescent="0.25">
      <c r="A185" s="386"/>
      <c r="B185" s="366" t="s">
        <v>439</v>
      </c>
      <c r="C185" s="366"/>
      <c r="D185" s="366"/>
      <c r="E185" s="366"/>
      <c r="F185" s="366"/>
      <c r="G185" s="366"/>
      <c r="H185" s="366"/>
      <c r="I185" s="366"/>
      <c r="J185" s="400"/>
      <c r="K185" s="387"/>
    </row>
    <row r="186" spans="1:11" hidden="1" x14ac:dyDescent="0.25">
      <c r="A186" s="386"/>
      <c r="B186" s="366" t="s">
        <v>445</v>
      </c>
      <c r="C186" s="366"/>
      <c r="D186" s="366"/>
      <c r="E186" s="366"/>
      <c r="F186" s="366"/>
      <c r="G186" s="366"/>
      <c r="H186" s="366"/>
      <c r="I186" s="366"/>
      <c r="J186" s="400"/>
      <c r="K186" s="387"/>
    </row>
    <row r="187" spans="1:11" hidden="1" x14ac:dyDescent="0.25">
      <c r="A187" s="386"/>
      <c r="B187" s="366" t="s">
        <v>443</v>
      </c>
      <c r="C187" s="366"/>
      <c r="D187" s="366"/>
      <c r="E187" s="366"/>
      <c r="F187" s="366"/>
      <c r="G187" s="366"/>
      <c r="H187" s="366"/>
      <c r="I187" s="366"/>
      <c r="J187" s="400"/>
      <c r="K187" s="387"/>
    </row>
    <row r="188" spans="1:11" hidden="1" x14ac:dyDescent="0.25">
      <c r="A188" s="386"/>
      <c r="B188" s="366" t="s">
        <v>451</v>
      </c>
      <c r="C188" s="366"/>
      <c r="D188" s="366"/>
      <c r="E188" s="366"/>
      <c r="F188" s="366"/>
      <c r="G188" s="366"/>
      <c r="H188" s="366"/>
      <c r="I188" s="366"/>
      <c r="J188" s="400"/>
      <c r="K188" s="387"/>
    </row>
    <row r="189" spans="1:11" hidden="1" x14ac:dyDescent="0.25">
      <c r="A189" s="386"/>
      <c r="B189" s="366"/>
      <c r="C189" s="366"/>
      <c r="D189" s="366"/>
      <c r="E189" s="366"/>
      <c r="F189" s="366"/>
      <c r="G189" s="366"/>
      <c r="H189" s="366"/>
      <c r="I189" s="366"/>
      <c r="J189" s="400"/>
      <c r="K189" s="387"/>
    </row>
    <row r="190" spans="1:11" hidden="1" x14ac:dyDescent="0.25">
      <c r="A190" s="386"/>
      <c r="B190" s="366"/>
      <c r="C190" s="366"/>
      <c r="D190" s="366"/>
      <c r="E190" s="366"/>
      <c r="F190" s="366"/>
      <c r="G190" s="366"/>
      <c r="H190" s="366"/>
      <c r="I190" s="366"/>
      <c r="J190" s="400"/>
      <c r="K190" s="387"/>
    </row>
    <row r="191" spans="1:11" hidden="1" x14ac:dyDescent="0.25">
      <c r="A191" s="386"/>
      <c r="B191" s="366" t="s">
        <v>454</v>
      </c>
      <c r="C191" s="366"/>
      <c r="D191" s="366">
        <f>IF(OR(D174=0, D179=0), 1, IF(AND(Panel_comp!I101=1, D192, D193, D194, D195), 1, 0))</f>
        <v>1</v>
      </c>
      <c r="E191" s="366"/>
      <c r="F191" s="656">
        <f>SUM(F162:F165)</f>
        <v>0</v>
      </c>
      <c r="G191" s="366"/>
      <c r="H191" s="656">
        <f>SUM(H162:H165)</f>
        <v>0</v>
      </c>
      <c r="I191" s="366"/>
      <c r="J191" s="400"/>
      <c r="K191" s="387"/>
    </row>
    <row r="192" spans="1:11" hidden="1" x14ac:dyDescent="0.25">
      <c r="A192" s="386"/>
      <c r="B192" s="366" t="s">
        <v>455</v>
      </c>
      <c r="C192" s="366"/>
      <c r="D192" s="366">
        <f>F192*H192</f>
        <v>1</v>
      </c>
      <c r="E192" s="366"/>
      <c r="F192" s="366">
        <f>IF(OR(F162&gt;F$171, F$191+H$191&gt;F$170, AND(D162&lt;&gt;"RT-Fault",F162&gt;0)), 0, 1)</f>
        <v>1</v>
      </c>
      <c r="G192" s="366"/>
      <c r="H192" s="366">
        <f>IF(OR(H162&gt;H$171, F$191+H$191&gt;H$170, AND(D162="RT-Fault",H162&gt;0)), 0, 1)</f>
        <v>1</v>
      </c>
      <c r="I192" s="366"/>
      <c r="J192" s="400"/>
      <c r="K192" s="387"/>
    </row>
    <row r="193" spans="1:75" hidden="1" x14ac:dyDescent="0.25">
      <c r="A193" s="386"/>
      <c r="B193" s="366" t="s">
        <v>456</v>
      </c>
      <c r="C193" s="366"/>
      <c r="D193" s="366">
        <f>F193*H193</f>
        <v>1</v>
      </c>
      <c r="E193" s="366"/>
      <c r="F193" s="366">
        <f t="shared" ref="F193:F195" si="0">IF(OR(F163&gt;F$171, F$191+H$191&gt;F$170, AND(D163&lt;&gt;"RT-Fault",F163&gt;0)), 0, 1)</f>
        <v>1</v>
      </c>
      <c r="G193" s="366"/>
      <c r="H193" s="366">
        <f t="shared" ref="H193:H195" si="1">IF(OR(H163&gt;H$171, F$191+H$191&gt;H$170, AND(D163="RT-Fault",H163&gt;0)), 0, 1)</f>
        <v>1</v>
      </c>
      <c r="I193" s="366"/>
      <c r="J193" s="400"/>
      <c r="K193" s="387"/>
    </row>
    <row r="194" spans="1:75" hidden="1" x14ac:dyDescent="0.25">
      <c r="A194" s="386"/>
      <c r="B194" s="366" t="s">
        <v>457</v>
      </c>
      <c r="C194" s="366"/>
      <c r="D194" s="366">
        <f>F194*H194</f>
        <v>1</v>
      </c>
      <c r="E194" s="366"/>
      <c r="F194" s="366">
        <f t="shared" si="0"/>
        <v>1</v>
      </c>
      <c r="G194" s="366"/>
      <c r="H194" s="366">
        <f t="shared" si="1"/>
        <v>1</v>
      </c>
      <c r="I194" s="366"/>
      <c r="J194" s="400"/>
      <c r="K194" s="387"/>
    </row>
    <row r="195" spans="1:75" hidden="1" x14ac:dyDescent="0.25">
      <c r="A195" s="386"/>
      <c r="B195" s="366" t="s">
        <v>458</v>
      </c>
      <c r="C195" s="366"/>
      <c r="D195" s="366">
        <f>F195*H195</f>
        <v>1</v>
      </c>
      <c r="E195" s="366"/>
      <c r="F195" s="366">
        <f t="shared" si="0"/>
        <v>1</v>
      </c>
      <c r="G195" s="366"/>
      <c r="H195" s="366">
        <f t="shared" si="1"/>
        <v>1</v>
      </c>
      <c r="I195" s="366"/>
      <c r="J195" s="510"/>
      <c r="K195" s="387"/>
    </row>
    <row r="196" spans="1:75" hidden="1" x14ac:dyDescent="0.25">
      <c r="A196" s="386"/>
      <c r="B196" s="366"/>
      <c r="C196" s="366"/>
      <c r="D196" s="366"/>
      <c r="E196" s="366"/>
      <c r="F196" s="366"/>
      <c r="G196" s="366"/>
      <c r="H196" s="366"/>
      <c r="I196" s="366"/>
      <c r="J196" s="400"/>
      <c r="K196" s="387"/>
    </row>
    <row r="197" spans="1:75" hidden="1" x14ac:dyDescent="0.25">
      <c r="A197" s="386"/>
      <c r="B197" s="366"/>
      <c r="C197" s="366"/>
      <c r="D197" s="366"/>
      <c r="E197" s="366"/>
      <c r="F197" s="366"/>
      <c r="G197" s="366"/>
      <c r="H197" s="366"/>
      <c r="I197" s="366"/>
      <c r="J197" s="400"/>
      <c r="K197" s="387"/>
    </row>
    <row r="198" spans="1:75" hidden="1" x14ac:dyDescent="0.25">
      <c r="A198" s="386"/>
      <c r="B198" s="366"/>
      <c r="C198" s="366"/>
      <c r="D198" s="366"/>
      <c r="E198" s="366"/>
      <c r="F198" s="366"/>
      <c r="G198" s="366"/>
      <c r="H198" s="366"/>
      <c r="I198" s="366"/>
      <c r="J198" s="400"/>
      <c r="K198" s="387"/>
    </row>
    <row r="199" spans="1:75" hidden="1" x14ac:dyDescent="0.25">
      <c r="A199" s="386"/>
      <c r="B199" s="366" t="s">
        <v>446</v>
      </c>
      <c r="C199" s="366"/>
      <c r="D199" s="366" t="e">
        <f>VLOOKUP(D167, B200:D201, 3, FALSE)</f>
        <v>#N/A</v>
      </c>
      <c r="E199" s="366"/>
      <c r="F199" s="366"/>
      <c r="G199" s="366"/>
      <c r="H199" s="366"/>
      <c r="I199" s="366"/>
      <c r="J199" s="400"/>
      <c r="K199" s="387"/>
    </row>
    <row r="200" spans="1:75" hidden="1" x14ac:dyDescent="0.25">
      <c r="A200" s="386"/>
      <c r="B200" s="366" t="s">
        <v>432</v>
      </c>
      <c r="C200" s="366"/>
      <c r="D200" s="366">
        <v>1</v>
      </c>
      <c r="E200" s="366"/>
      <c r="F200" s="366"/>
      <c r="G200" s="366"/>
      <c r="H200" s="366"/>
      <c r="I200" s="366"/>
      <c r="J200" s="400"/>
      <c r="K200" s="387"/>
    </row>
    <row r="201" spans="1:75" ht="13" hidden="1" thickBot="1" x14ac:dyDescent="0.3">
      <c r="A201" s="386"/>
      <c r="B201" s="366" t="s">
        <v>433</v>
      </c>
      <c r="C201" s="366"/>
      <c r="D201" s="366">
        <v>0</v>
      </c>
      <c r="E201" s="366"/>
      <c r="F201" s="366"/>
      <c r="G201" s="366"/>
      <c r="H201" s="366"/>
      <c r="I201" s="366"/>
      <c r="J201" s="400"/>
      <c r="K201" s="387"/>
    </row>
    <row r="202" spans="1:75" ht="16" hidden="1" thickBot="1" x14ac:dyDescent="0.3">
      <c r="A202" s="386"/>
      <c r="B202" s="389" t="s">
        <v>341</v>
      </c>
      <c r="C202" s="424"/>
      <c r="D202" s="670" t="str">
        <f>D131</f>
        <v>Quantity</v>
      </c>
      <c r="E202" s="671"/>
      <c r="F202" s="672" t="str">
        <f>F$131</f>
        <v>Quiescent power</v>
      </c>
      <c r="G202" s="672"/>
      <c r="H202" s="670" t="str">
        <f>H$131</f>
        <v>Alarm power</v>
      </c>
      <c r="I202" s="671"/>
      <c r="J202" s="413" t="str">
        <f>J$88</f>
        <v>Remarks</v>
      </c>
      <c r="K202" s="387"/>
    </row>
    <row r="203" spans="1:75" hidden="1" x14ac:dyDescent="0.25">
      <c r="A203" s="386"/>
      <c r="B203" s="432" t="s">
        <v>335</v>
      </c>
      <c r="C203" s="511"/>
      <c r="D203" s="492">
        <v>0</v>
      </c>
      <c r="E203" s="434" t="s">
        <v>73</v>
      </c>
      <c r="F203" s="463">
        <v>0</v>
      </c>
      <c r="G203" s="434" t="s">
        <v>51</v>
      </c>
      <c r="H203" s="463">
        <v>0</v>
      </c>
      <c r="I203" s="434" t="s">
        <v>51</v>
      </c>
      <c r="J203" s="512" t="s">
        <v>92</v>
      </c>
      <c r="K203" s="387"/>
    </row>
    <row r="204" spans="1:75" ht="13" hidden="1" thickBot="1" x14ac:dyDescent="0.3">
      <c r="A204" s="386"/>
      <c r="B204" s="451" t="s">
        <v>336</v>
      </c>
      <c r="C204" s="513" t="s">
        <v>93</v>
      </c>
      <c r="D204" s="514">
        <v>0</v>
      </c>
      <c r="E204" s="442" t="s">
        <v>73</v>
      </c>
      <c r="F204" s="478">
        <v>0</v>
      </c>
      <c r="G204" s="442" t="s">
        <v>51</v>
      </c>
      <c r="H204" s="478">
        <v>0</v>
      </c>
      <c r="I204" s="442" t="s">
        <v>51</v>
      </c>
      <c r="J204" s="515" t="s">
        <v>92</v>
      </c>
      <c r="K204" s="387"/>
    </row>
    <row r="205" spans="1:75" hidden="1" x14ac:dyDescent="0.25">
      <c r="A205" s="386"/>
      <c r="C205" s="480"/>
      <c r="F205" s="400"/>
      <c r="H205" s="400"/>
      <c r="J205" s="400"/>
      <c r="K205" s="387"/>
    </row>
    <row r="206" spans="1:75" s="366" customFormat="1" hidden="1" x14ac:dyDescent="0.25">
      <c r="A206" s="382"/>
      <c r="K206" s="383"/>
      <c r="L206" s="350"/>
      <c r="M206" s="350"/>
      <c r="N206" s="350"/>
      <c r="O206" s="350"/>
      <c r="P206" s="350"/>
      <c r="Q206" s="350"/>
      <c r="R206" s="350"/>
      <c r="S206" s="350"/>
      <c r="T206" s="350"/>
      <c r="U206" s="350"/>
      <c r="V206" s="350"/>
      <c r="W206" s="350"/>
      <c r="X206" s="350"/>
      <c r="Y206" s="350"/>
      <c r="Z206" s="350"/>
      <c r="AA206" s="350"/>
      <c r="AB206" s="350"/>
      <c r="AC206" s="350"/>
      <c r="AD206" s="350"/>
      <c r="AE206" s="350"/>
      <c r="AF206" s="350"/>
      <c r="AG206" s="350"/>
      <c r="AH206" s="350"/>
      <c r="AI206" s="350"/>
      <c r="AJ206" s="350"/>
      <c r="AK206" s="350"/>
      <c r="AL206" s="350"/>
      <c r="AM206" s="350"/>
      <c r="AN206" s="350"/>
      <c r="AO206" s="350"/>
      <c r="AP206" s="350"/>
      <c r="AQ206" s="350"/>
      <c r="AR206" s="350"/>
      <c r="AS206" s="350"/>
      <c r="AT206" s="350"/>
      <c r="AU206" s="350"/>
      <c r="AV206" s="350"/>
      <c r="AW206" s="350"/>
      <c r="AX206" s="350"/>
      <c r="AY206" s="350"/>
      <c r="AZ206" s="350"/>
      <c r="BA206" s="350"/>
      <c r="BB206" s="350"/>
      <c r="BC206" s="350"/>
      <c r="BD206" s="350"/>
      <c r="BE206" s="350"/>
      <c r="BF206" s="350"/>
      <c r="BG206" s="350"/>
      <c r="BH206" s="350"/>
      <c r="BI206" s="350"/>
      <c r="BJ206" s="350"/>
      <c r="BK206" s="350"/>
      <c r="BL206" s="350"/>
      <c r="BM206" s="350"/>
      <c r="BN206" s="350"/>
      <c r="BO206" s="350"/>
      <c r="BP206" s="350"/>
      <c r="BQ206" s="350"/>
      <c r="BR206" s="350"/>
      <c r="BS206" s="350"/>
      <c r="BT206" s="350"/>
      <c r="BU206" s="350"/>
      <c r="BV206" s="350"/>
      <c r="BW206" s="350"/>
    </row>
    <row r="207" spans="1:75" s="371" customFormat="1" hidden="1" x14ac:dyDescent="0.25">
      <c r="A207" s="367"/>
      <c r="B207" s="372" t="s">
        <v>94</v>
      </c>
      <c r="C207" s="372"/>
      <c r="D207" s="373">
        <f>IF(D132&lt;=2,1,0)</f>
        <v>1</v>
      </c>
      <c r="E207" s="373"/>
      <c r="F207" s="373"/>
      <c r="G207" s="376"/>
      <c r="H207" s="376"/>
      <c r="I207" s="373"/>
      <c r="J207" s="373"/>
      <c r="K207" s="370"/>
    </row>
    <row r="208" spans="1:75" s="371" customFormat="1" hidden="1" x14ac:dyDescent="0.25">
      <c r="A208" s="367"/>
      <c r="B208" s="372" t="s">
        <v>95</v>
      </c>
      <c r="C208" s="372"/>
      <c r="D208" s="373">
        <f>IF(D137&lt;&gt;"",1,0)</f>
        <v>1</v>
      </c>
      <c r="E208" s="373"/>
      <c r="F208" s="373"/>
      <c r="G208" s="376"/>
      <c r="H208" s="376"/>
      <c r="I208" s="373"/>
      <c r="J208" s="373"/>
      <c r="K208" s="370"/>
    </row>
    <row r="209" spans="1:11" s="371" customFormat="1" hidden="1" x14ac:dyDescent="0.25">
      <c r="A209" s="367"/>
      <c r="B209" s="372" t="s">
        <v>96</v>
      </c>
      <c r="C209" s="372"/>
      <c r="D209" s="373">
        <f>IF(D138&lt;&gt;"",1,0)</f>
        <v>1</v>
      </c>
      <c r="E209" s="373"/>
      <c r="F209" s="373"/>
      <c r="G209" s="376"/>
      <c r="H209" s="376"/>
      <c r="I209" s="373"/>
      <c r="J209" s="373"/>
      <c r="K209" s="370"/>
    </row>
    <row r="210" spans="1:11" s="371" customFormat="1" hidden="1" x14ac:dyDescent="0.25">
      <c r="A210" s="367"/>
      <c r="B210" s="372" t="s">
        <v>97</v>
      </c>
      <c r="C210" s="372"/>
      <c r="D210" s="373">
        <f>IF(D142=1,IF(AND(F142&gt;=G210,F142&lt;=I210,H142&gt;=G210,H142&lt;=I210),1,0),1)</f>
        <v>1</v>
      </c>
      <c r="E210" s="373"/>
      <c r="F210" s="375" t="s">
        <v>98</v>
      </c>
      <c r="G210" s="376">
        <v>0.05</v>
      </c>
      <c r="H210" s="375" t="s">
        <v>99</v>
      </c>
      <c r="I210" s="376">
        <v>0.1</v>
      </c>
      <c r="J210" s="373"/>
      <c r="K210" s="370"/>
    </row>
    <row r="211" spans="1:11" s="371" customFormat="1" hidden="1" x14ac:dyDescent="0.25">
      <c r="A211" s="367"/>
      <c r="B211" s="372" t="s">
        <v>100</v>
      </c>
      <c r="C211" s="372"/>
      <c r="D211" s="373">
        <f>IF(D146&lt;=1,1,0)</f>
        <v>1</v>
      </c>
      <c r="E211" s="373"/>
      <c r="F211" s="375"/>
      <c r="G211" s="376"/>
      <c r="H211" s="375"/>
      <c r="I211" s="376"/>
      <c r="J211" s="373"/>
      <c r="K211" s="370"/>
    </row>
    <row r="212" spans="1:11" s="371" customFormat="1" hidden="1" x14ac:dyDescent="0.25">
      <c r="A212" s="367"/>
      <c r="B212" s="372" t="s">
        <v>101</v>
      </c>
      <c r="C212" s="372"/>
      <c r="D212" s="373">
        <f>IF(I212&lt;=G212,1,0)</f>
        <v>1</v>
      </c>
      <c r="E212" s="373"/>
      <c r="F212" s="375" t="s">
        <v>102</v>
      </c>
      <c r="G212" s="376">
        <f>Panel_comp!C19</f>
        <v>16</v>
      </c>
      <c r="H212" s="375" t="s">
        <v>103</v>
      </c>
      <c r="I212" s="376">
        <f>Panel_comp!B141</f>
        <v>4</v>
      </c>
      <c r="J212" s="373"/>
      <c r="K212" s="370"/>
    </row>
    <row r="213" spans="1:11" s="371" customFormat="1" hidden="1" x14ac:dyDescent="0.25">
      <c r="A213" s="367"/>
      <c r="B213" s="372" t="s">
        <v>104</v>
      </c>
      <c r="C213" s="372"/>
      <c r="D213" s="373">
        <f>IF(I212&lt;=G212,1,0)</f>
        <v>1</v>
      </c>
      <c r="E213" s="373"/>
      <c r="F213" s="375"/>
      <c r="G213" s="376"/>
      <c r="H213" s="375"/>
      <c r="I213" s="376"/>
      <c r="J213" s="373"/>
      <c r="K213" s="370"/>
    </row>
    <row r="214" spans="1:11" s="371" customFormat="1" hidden="1" x14ac:dyDescent="0.25">
      <c r="A214" s="367"/>
      <c r="B214" s="372"/>
      <c r="C214" s="372"/>
      <c r="D214" s="373"/>
      <c r="E214" s="373"/>
      <c r="F214" s="375"/>
      <c r="G214" s="376"/>
      <c r="H214" s="375"/>
      <c r="I214" s="376"/>
      <c r="J214" s="516"/>
      <c r="K214" s="370"/>
    </row>
    <row r="215" spans="1:11" ht="13" thickBot="1" x14ac:dyDescent="0.3">
      <c r="A215" s="386"/>
      <c r="K215" s="387"/>
    </row>
    <row r="216" spans="1:11" ht="16" thickBot="1" x14ac:dyDescent="0.4">
      <c r="A216" s="673" t="s">
        <v>105</v>
      </c>
      <c r="B216" s="674"/>
      <c r="C216" s="674"/>
      <c r="D216" s="674"/>
      <c r="E216" s="674"/>
      <c r="F216" s="674"/>
      <c r="G216" s="674"/>
      <c r="H216" s="674"/>
      <c r="I216" s="674"/>
      <c r="J216" s="674"/>
      <c r="K216" s="675"/>
    </row>
    <row r="217" spans="1:11" ht="13" thickBot="1" x14ac:dyDescent="0.3">
      <c r="A217" s="386"/>
      <c r="K217" s="387"/>
    </row>
    <row r="218" spans="1:11" ht="16" thickBot="1" x14ac:dyDescent="0.3">
      <c r="A218" s="386"/>
      <c r="B218" s="389" t="s">
        <v>106</v>
      </c>
      <c r="C218" s="424"/>
      <c r="D218" s="670"/>
      <c r="E218" s="671"/>
      <c r="F218" s="672" t="str">
        <f>F$131</f>
        <v>Quiescent power</v>
      </c>
      <c r="G218" s="672"/>
      <c r="H218" s="670" t="str">
        <f>H$131</f>
        <v>Alarm power</v>
      </c>
      <c r="I218" s="671"/>
      <c r="J218" s="413" t="str">
        <f>J$88</f>
        <v>Remarks</v>
      </c>
      <c r="K218" s="387"/>
    </row>
    <row r="219" spans="1:11" ht="13" thickBot="1" x14ac:dyDescent="0.3">
      <c r="A219" s="386"/>
      <c r="B219" s="425" t="s">
        <v>107</v>
      </c>
      <c r="C219" s="498" t="str">
        <f>Panel_comp!B109</f>
        <v>FC361-ZZ</v>
      </c>
      <c r="D219" s="425"/>
      <c r="E219" s="422"/>
      <c r="F219" s="499">
        <f>Panel_comp!L149</f>
        <v>2.2367999999999997</v>
      </c>
      <c r="G219" s="422" t="s">
        <v>51</v>
      </c>
      <c r="H219" s="499">
        <f>Panel_comp!M149</f>
        <v>2.7168000000000001</v>
      </c>
      <c r="I219" s="422" t="s">
        <v>51</v>
      </c>
      <c r="J219" s="517"/>
      <c r="K219" s="387"/>
    </row>
    <row r="220" spans="1:11" ht="13" thickBot="1" x14ac:dyDescent="0.3">
      <c r="A220" s="386"/>
      <c r="K220" s="387"/>
    </row>
    <row r="221" spans="1:11" ht="16" thickBot="1" x14ac:dyDescent="0.4">
      <c r="A221" s="673" t="s">
        <v>531</v>
      </c>
      <c r="B221" s="674"/>
      <c r="C221" s="674"/>
      <c r="D221" s="674"/>
      <c r="E221" s="674"/>
      <c r="F221" s="674"/>
      <c r="G221" s="674"/>
      <c r="H221" s="674"/>
      <c r="I221" s="674"/>
      <c r="J221" s="674"/>
      <c r="K221" s="675"/>
    </row>
    <row r="222" spans="1:11" ht="13" thickBot="1" x14ac:dyDescent="0.3">
      <c r="A222" s="482"/>
      <c r="B222" s="518"/>
      <c r="C222" s="518"/>
      <c r="D222" s="518"/>
      <c r="E222" s="518"/>
      <c r="F222" s="518"/>
      <c r="G222" s="518"/>
      <c r="H222" s="518"/>
      <c r="I222" s="518"/>
      <c r="J222" s="518"/>
      <c r="K222" s="485"/>
    </row>
    <row r="223" spans="1:11" ht="16" thickBot="1" x14ac:dyDescent="0.3">
      <c r="A223" s="386"/>
      <c r="B223" s="389" t="s">
        <v>108</v>
      </c>
      <c r="C223" s="424"/>
      <c r="D223" s="668"/>
      <c r="E223" s="669"/>
      <c r="F223" s="670" t="str">
        <f>F$131</f>
        <v>Quiescent power</v>
      </c>
      <c r="G223" s="671"/>
      <c r="H223" s="672" t="str">
        <f>H$131</f>
        <v>Alarm power</v>
      </c>
      <c r="I223" s="671"/>
      <c r="J223" s="413" t="str">
        <f>J$88</f>
        <v>Remarks</v>
      </c>
      <c r="K223" s="387"/>
    </row>
    <row r="224" spans="1:11" x14ac:dyDescent="0.25">
      <c r="A224" s="386"/>
      <c r="B224" s="432" t="s">
        <v>499</v>
      </c>
      <c r="C224" s="434"/>
      <c r="D224" s="519">
        <v>24</v>
      </c>
      <c r="E224" s="434" t="s">
        <v>110</v>
      </c>
      <c r="F224" s="432"/>
      <c r="G224" s="434"/>
      <c r="H224" s="432"/>
      <c r="I224" s="434"/>
      <c r="J224" s="475"/>
      <c r="K224" s="387"/>
    </row>
    <row r="225" spans="1:11" ht="13" thickBot="1" x14ac:dyDescent="0.3">
      <c r="A225" s="386"/>
      <c r="B225" s="451" t="s">
        <v>111</v>
      </c>
      <c r="C225" s="442"/>
      <c r="D225" s="520">
        <v>0.5</v>
      </c>
      <c r="E225" s="442" t="s">
        <v>110</v>
      </c>
      <c r="F225" s="451"/>
      <c r="G225" s="442"/>
      <c r="H225" s="451"/>
      <c r="I225" s="442"/>
      <c r="J225" s="479"/>
      <c r="K225" s="387"/>
    </row>
    <row r="226" spans="1:11" ht="13" hidden="1" thickBot="1" x14ac:dyDescent="0.3">
      <c r="A226" s="386"/>
      <c r="K226" s="387"/>
    </row>
    <row r="227" spans="1:11" ht="16" hidden="1" thickBot="1" x14ac:dyDescent="0.3">
      <c r="A227" s="386"/>
      <c r="B227" s="389" t="s">
        <v>112</v>
      </c>
      <c r="C227" s="424"/>
      <c r="D227" s="670"/>
      <c r="E227" s="671"/>
      <c r="F227" s="672" t="str">
        <f>F$131</f>
        <v>Quiescent power</v>
      </c>
      <c r="G227" s="672"/>
      <c r="H227" s="670" t="s">
        <v>72</v>
      </c>
      <c r="I227" s="671"/>
      <c r="J227" s="413" t="str">
        <f>J$88</f>
        <v>Remarks</v>
      </c>
      <c r="K227" s="387"/>
    </row>
    <row r="228" spans="1:11" x14ac:dyDescent="0.25">
      <c r="A228" s="386"/>
      <c r="B228" s="432" t="s">
        <v>55</v>
      </c>
      <c r="C228" s="434"/>
      <c r="D228" s="432"/>
      <c r="E228" s="434"/>
      <c r="F228" s="463">
        <f>Panel_comp!L145</f>
        <v>0.93599999999999994</v>
      </c>
      <c r="G228" s="434" t="s">
        <v>51</v>
      </c>
      <c r="H228" s="463">
        <f>Panel_comp!M145</f>
        <v>0.93599999999999994</v>
      </c>
      <c r="I228" s="434" t="s">
        <v>51</v>
      </c>
      <c r="J228" s="475"/>
      <c r="K228" s="387"/>
    </row>
    <row r="229" spans="1:11" x14ac:dyDescent="0.25">
      <c r="A229" s="386"/>
      <c r="B229" s="447" t="s">
        <v>512</v>
      </c>
      <c r="C229" s="448"/>
      <c r="D229" s="447"/>
      <c r="E229" s="448"/>
      <c r="F229" s="468">
        <f>Panel_comp!L147</f>
        <v>0</v>
      </c>
      <c r="G229" s="448" t="s">
        <v>51</v>
      </c>
      <c r="H229" s="468">
        <f>Panel_comp!M147</f>
        <v>0</v>
      </c>
      <c r="I229" s="448" t="s">
        <v>51</v>
      </c>
      <c r="J229" s="495"/>
      <c r="K229" s="387"/>
    </row>
    <row r="230" spans="1:11" x14ac:dyDescent="0.25">
      <c r="A230" s="386"/>
      <c r="B230" s="447" t="s">
        <v>69</v>
      </c>
      <c r="C230" s="448"/>
      <c r="D230" s="447"/>
      <c r="E230" s="448"/>
      <c r="F230" s="468">
        <f>Panel_comp!L148</f>
        <v>0</v>
      </c>
      <c r="G230" s="448" t="s">
        <v>51</v>
      </c>
      <c r="H230" s="468">
        <f>Panel_comp!M148</f>
        <v>0</v>
      </c>
      <c r="I230" s="448" t="s">
        <v>51</v>
      </c>
      <c r="J230" s="495"/>
      <c r="K230" s="387"/>
    </row>
    <row r="231" spans="1:11" ht="13.5" customHeight="1" thickBot="1" x14ac:dyDescent="0.3">
      <c r="A231" s="386"/>
      <c r="B231" s="451" t="s">
        <v>105</v>
      </c>
      <c r="C231" s="442"/>
      <c r="D231" s="451"/>
      <c r="E231" s="442"/>
      <c r="F231" s="478">
        <f>F219</f>
        <v>2.2367999999999997</v>
      </c>
      <c r="G231" s="442" t="s">
        <v>51</v>
      </c>
      <c r="H231" s="478">
        <f>H219</f>
        <v>2.7168000000000001</v>
      </c>
      <c r="I231" s="442" t="s">
        <v>51</v>
      </c>
      <c r="J231" s="479"/>
      <c r="K231" s="387"/>
    </row>
    <row r="232" spans="1:11" ht="13" thickBot="1" x14ac:dyDescent="0.3">
      <c r="A232" s="386"/>
      <c r="B232" s="425" t="s">
        <v>115</v>
      </c>
      <c r="C232" s="422"/>
      <c r="D232" s="425"/>
      <c r="E232" s="422"/>
      <c r="F232" s="499">
        <f>Panel_comp!L152</f>
        <v>3.1727999999999996</v>
      </c>
      <c r="G232" s="422" t="s">
        <v>51</v>
      </c>
      <c r="H232" s="499">
        <f>Panel_comp!M152</f>
        <v>3.6528</v>
      </c>
      <c r="I232" s="422" t="s">
        <v>51</v>
      </c>
      <c r="J232" s="517"/>
      <c r="K232" s="387"/>
    </row>
    <row r="233" spans="1:11" x14ac:dyDescent="0.25">
      <c r="A233" s="386"/>
      <c r="F233" s="400"/>
      <c r="H233" s="400"/>
      <c r="K233" s="387"/>
    </row>
    <row r="234" spans="1:11" ht="13" thickBot="1" x14ac:dyDescent="0.3">
      <c r="A234" s="386"/>
      <c r="F234" s="400"/>
      <c r="H234" s="400"/>
      <c r="K234" s="387"/>
    </row>
    <row r="235" spans="1:11" ht="16" thickBot="1" x14ac:dyDescent="0.3">
      <c r="A235" s="386"/>
      <c r="B235" s="389" t="s">
        <v>116</v>
      </c>
      <c r="C235" s="424"/>
      <c r="D235" s="668"/>
      <c r="E235" s="669"/>
      <c r="F235" s="670"/>
      <c r="G235" s="671"/>
      <c r="H235" s="672"/>
      <c r="I235" s="671"/>
      <c r="J235" s="413" t="str">
        <f>J$88</f>
        <v>Remarks</v>
      </c>
      <c r="K235" s="387"/>
    </row>
    <row r="236" spans="1:11" x14ac:dyDescent="0.25">
      <c r="A236" s="386"/>
      <c r="B236" s="447" t="s">
        <v>117</v>
      </c>
      <c r="C236" s="448"/>
      <c r="D236" s="447"/>
      <c r="E236" s="448"/>
      <c r="F236" s="521">
        <f>Panel_comp!C171</f>
        <v>4.0611249999999997</v>
      </c>
      <c r="G236" s="448" t="s">
        <v>53</v>
      </c>
      <c r="H236" s="447"/>
      <c r="I236" s="448"/>
      <c r="J236" s="495"/>
      <c r="K236" s="387"/>
    </row>
    <row r="237" spans="1:11" ht="13" thickBot="1" x14ac:dyDescent="0.3">
      <c r="A237" s="386"/>
      <c r="B237" s="451" t="s">
        <v>118</v>
      </c>
      <c r="C237" s="522" t="str">
        <f>Panel_comp!B172</f>
        <v>FA2003-A1</v>
      </c>
      <c r="D237" s="451"/>
      <c r="E237" s="442"/>
      <c r="F237" s="523">
        <f>Panel_comp!C172</f>
        <v>7</v>
      </c>
      <c r="G237" s="442" t="s">
        <v>53</v>
      </c>
      <c r="H237" s="451"/>
      <c r="I237" s="442"/>
      <c r="J237" s="524" t="str">
        <f>VLOOKUP(Panel_comp!C175,Panel_comp!K220:L223,2,TRUE)</f>
        <v>O.K.</v>
      </c>
      <c r="K237" s="387"/>
    </row>
    <row r="238" spans="1:11" x14ac:dyDescent="0.25">
      <c r="A238" s="386"/>
      <c r="F238" s="525"/>
      <c r="J238" s="526"/>
      <c r="K238" s="387"/>
    </row>
    <row r="239" spans="1:11" ht="13" thickBot="1" x14ac:dyDescent="0.3">
      <c r="A239" s="386"/>
      <c r="K239" s="387"/>
    </row>
    <row r="240" spans="1:11" ht="16" thickBot="1" x14ac:dyDescent="0.3">
      <c r="A240" s="386"/>
      <c r="B240" s="389" t="s">
        <v>119</v>
      </c>
      <c r="C240" s="424"/>
      <c r="D240" s="670"/>
      <c r="E240" s="671"/>
      <c r="F240" s="670"/>
      <c r="G240" s="671"/>
      <c r="H240" s="672"/>
      <c r="I240" s="671"/>
      <c r="J240" s="413" t="str">
        <f>J$88</f>
        <v>Remarks</v>
      </c>
      <c r="K240" s="387"/>
    </row>
    <row r="241" spans="1:11" x14ac:dyDescent="0.25">
      <c r="A241" s="386"/>
      <c r="B241" s="432" t="s">
        <v>120</v>
      </c>
      <c r="C241" s="434"/>
      <c r="D241" s="432"/>
      <c r="E241" s="434"/>
      <c r="F241" s="463">
        <f>Panel_comp!C180</f>
        <v>0.49541999999999997</v>
      </c>
      <c r="G241" s="434" t="s">
        <v>57</v>
      </c>
      <c r="H241" s="432"/>
      <c r="I241" s="434"/>
      <c r="J241" s="475" t="str">
        <f>IF($D$246=0,"Use document 008843 to calculate power supply","")</f>
        <v/>
      </c>
      <c r="K241" s="387"/>
    </row>
    <row r="242" spans="1:11" x14ac:dyDescent="0.25">
      <c r="A242" s="386"/>
      <c r="B242" s="447" t="s">
        <v>121</v>
      </c>
      <c r="C242" s="448"/>
      <c r="D242" s="447"/>
      <c r="E242" s="448"/>
      <c r="F242" s="521">
        <f>Panel_comp!C181</f>
        <v>11.890079999999999</v>
      </c>
      <c r="G242" s="448" t="s">
        <v>51</v>
      </c>
      <c r="H242" s="447"/>
      <c r="I242" s="448"/>
      <c r="J242" s="495"/>
      <c r="K242" s="387"/>
    </row>
    <row r="243" spans="1:11" x14ac:dyDescent="0.25">
      <c r="A243" s="386"/>
      <c r="B243" s="527" t="s">
        <v>122</v>
      </c>
      <c r="C243" s="528" t="str">
        <f>Panel_comp!B182</f>
        <v>FP2001-A1</v>
      </c>
      <c r="D243" s="527"/>
      <c r="E243" s="529"/>
      <c r="F243" s="530">
        <f>Panel_comp!C182</f>
        <v>70</v>
      </c>
      <c r="G243" s="529" t="s">
        <v>51</v>
      </c>
      <c r="H243" s="527"/>
      <c r="I243" s="529"/>
      <c r="J243" s="531" t="str">
        <f>IF(D248=0,"Use additional supply","")</f>
        <v/>
      </c>
      <c r="K243" s="387"/>
    </row>
    <row r="244" spans="1:11" ht="13" thickBot="1" x14ac:dyDescent="0.3">
      <c r="A244" s="386"/>
      <c r="B244" s="451" t="s">
        <v>123</v>
      </c>
      <c r="C244" s="442"/>
      <c r="D244" s="451"/>
      <c r="E244" s="442"/>
      <c r="F244" s="523">
        <f>Panel_comp!C183</f>
        <v>70</v>
      </c>
      <c r="G244" s="442" t="s">
        <v>51</v>
      </c>
      <c r="H244" s="451"/>
      <c r="I244" s="442"/>
      <c r="J244" s="532" t="str">
        <f>VLOOKUP($I$249,Panel_comp!$K$233:$L$236,2,TRUE)</f>
        <v>O.K.</v>
      </c>
      <c r="K244" s="387"/>
    </row>
    <row r="245" spans="1:11" x14ac:dyDescent="0.25">
      <c r="A245" s="386"/>
      <c r="F245" s="525"/>
      <c r="J245" s="526"/>
      <c r="K245" s="387"/>
    </row>
    <row r="246" spans="1:11" s="371" customFormat="1" hidden="1" x14ac:dyDescent="0.25">
      <c r="A246" s="367"/>
      <c r="B246" s="372" t="s">
        <v>124</v>
      </c>
      <c r="C246" s="372"/>
      <c r="D246" s="373">
        <f>IF(F237="no",0,IF(F236&lt;=F237,1,0))</f>
        <v>1</v>
      </c>
      <c r="E246" s="375" t="s">
        <v>125</v>
      </c>
      <c r="F246" s="376" t="s">
        <v>126</v>
      </c>
      <c r="G246" s="376"/>
      <c r="H246" s="375" t="s">
        <v>127</v>
      </c>
      <c r="I246" s="373">
        <f>2*D246+D247</f>
        <v>3</v>
      </c>
      <c r="J246" s="369"/>
      <c r="K246" s="370"/>
    </row>
    <row r="247" spans="1:11" s="371" customFormat="1" hidden="1" x14ac:dyDescent="0.25">
      <c r="A247" s="367"/>
      <c r="B247" s="372" t="s">
        <v>128</v>
      </c>
      <c r="C247" s="372"/>
      <c r="D247" s="373">
        <f>IF(F236&lt;=$D$69,1,0)</f>
        <v>1</v>
      </c>
      <c r="E247" s="375" t="s">
        <v>125</v>
      </c>
      <c r="F247" s="376" t="s">
        <v>129</v>
      </c>
      <c r="G247" s="376"/>
      <c r="H247" s="375"/>
      <c r="I247" s="373"/>
      <c r="J247" s="369"/>
      <c r="K247" s="370"/>
    </row>
    <row r="248" spans="1:11" s="371" customFormat="1" hidden="1" x14ac:dyDescent="0.25">
      <c r="A248" s="367"/>
      <c r="B248" s="372" t="s">
        <v>130</v>
      </c>
      <c r="C248" s="372"/>
      <c r="D248" s="373">
        <f>IF(F242&lt;=F243,1,0)</f>
        <v>1</v>
      </c>
      <c r="E248" s="375" t="s">
        <v>125</v>
      </c>
      <c r="F248" s="376" t="s">
        <v>131</v>
      </c>
      <c r="G248" s="376"/>
      <c r="H248" s="375"/>
      <c r="I248" s="373"/>
      <c r="J248" s="369"/>
      <c r="K248" s="370"/>
    </row>
    <row r="249" spans="1:11" s="371" customFormat="1" hidden="1" x14ac:dyDescent="0.25">
      <c r="A249" s="367"/>
      <c r="B249" s="372" t="s">
        <v>132</v>
      </c>
      <c r="C249" s="372"/>
      <c r="D249" s="373">
        <f>IF(F242&lt;=F244,1,0)</f>
        <v>1</v>
      </c>
      <c r="E249" s="375" t="s">
        <v>125</v>
      </c>
      <c r="F249" s="376" t="s">
        <v>133</v>
      </c>
      <c r="G249" s="376"/>
      <c r="H249" s="375" t="s">
        <v>134</v>
      </c>
      <c r="I249" s="373">
        <f>2*D249+D250</f>
        <v>3</v>
      </c>
      <c r="J249" s="369"/>
      <c r="K249" s="370"/>
    </row>
    <row r="250" spans="1:11" s="371" customFormat="1" hidden="1" x14ac:dyDescent="0.25">
      <c r="A250" s="367"/>
      <c r="B250" s="372" t="s">
        <v>135</v>
      </c>
      <c r="C250" s="372"/>
      <c r="D250" s="373">
        <f>IF(F242&lt;=$D$70,1,0)</f>
        <v>1</v>
      </c>
      <c r="E250" s="375" t="s">
        <v>125</v>
      </c>
      <c r="F250" s="376" t="s">
        <v>129</v>
      </c>
      <c r="G250" s="376"/>
      <c r="H250" s="375"/>
      <c r="I250" s="373"/>
      <c r="J250" s="369"/>
      <c r="K250" s="370"/>
    </row>
    <row r="251" spans="1:11" ht="13" thickBot="1" x14ac:dyDescent="0.3">
      <c r="A251" s="386"/>
      <c r="K251" s="387"/>
    </row>
    <row r="252" spans="1:11" s="371" customFormat="1" ht="13" hidden="1" thickBot="1" x14ac:dyDescent="0.3">
      <c r="A252" s="367"/>
      <c r="B252" s="372" t="s">
        <v>124</v>
      </c>
      <c r="C252" s="372"/>
      <c r="D252" s="373" t="e">
        <f>IF(#REF!="no",0,IF(#REF!&lt;=#REF!,1,0))</f>
        <v>#REF!</v>
      </c>
      <c r="E252" s="375"/>
      <c r="F252" s="376" t="s">
        <v>126</v>
      </c>
      <c r="G252" s="376"/>
      <c r="H252" s="375"/>
      <c r="I252" s="373"/>
      <c r="J252" s="369"/>
      <c r="K252" s="370"/>
    </row>
    <row r="253" spans="1:11" s="371" customFormat="1" ht="13" hidden="1" thickBot="1" x14ac:dyDescent="0.3">
      <c r="A253" s="367"/>
      <c r="B253" s="372" t="s">
        <v>130</v>
      </c>
      <c r="C253" s="372"/>
      <c r="D253" s="373" t="e">
        <f>IF(#REF!&lt;=#REF!,1,0)</f>
        <v>#REF!</v>
      </c>
      <c r="E253" s="375"/>
      <c r="F253" s="376" t="s">
        <v>131</v>
      </c>
      <c r="G253" s="376"/>
      <c r="H253" s="375"/>
      <c r="I253" s="373"/>
      <c r="J253" s="369"/>
      <c r="K253" s="370"/>
    </row>
    <row r="254" spans="1:11" ht="16" thickBot="1" x14ac:dyDescent="0.4">
      <c r="A254" s="386"/>
      <c r="G254" s="533"/>
      <c r="J254" s="534" t="str">
        <f>IF(J255="KF","Need refresh calculation on C-Net_Module2",IF(J255="JC","Configuration ok","Configuration false"))</f>
        <v>Need refresh calculation on C-Net_Module2</v>
      </c>
      <c r="K254" s="387"/>
    </row>
    <row r="255" spans="1:11" ht="12.75" customHeight="1" x14ac:dyDescent="0.25">
      <c r="A255" s="386"/>
      <c r="B255" s="535"/>
      <c r="G255" s="536"/>
      <c r="J255" s="665" t="str">
        <f>IF('C-NET_Module2'!C576,"KF",IF(AND(D123,D124,D126,D127,D125,D191,D207,D208,D209,D210,D211,D212,D213,D246,D247,D248,D249,D250,'C-NET_Module2'!C578,'C-NET_Module2'!C579),"JC","LD"))</f>
        <v>KF</v>
      </c>
      <c r="K255" s="387"/>
    </row>
    <row r="256" spans="1:11" ht="12.75" customHeight="1" x14ac:dyDescent="0.25">
      <c r="A256" s="386"/>
      <c r="D256" s="401"/>
      <c r="E256" s="401"/>
      <c r="J256" s="666"/>
      <c r="K256" s="387"/>
    </row>
    <row r="257" spans="1:11" ht="12.75" customHeight="1" x14ac:dyDescent="0.25">
      <c r="A257" s="386"/>
      <c r="D257" s="351"/>
      <c r="E257" s="351"/>
      <c r="J257" s="666"/>
      <c r="K257" s="387"/>
    </row>
    <row r="258" spans="1:11" ht="12.75" customHeight="1" x14ac:dyDescent="0.25">
      <c r="A258" s="386"/>
      <c r="J258" s="666"/>
      <c r="K258" s="387"/>
    </row>
    <row r="259" spans="1:11" ht="12.75" customHeight="1" x14ac:dyDescent="0.25">
      <c r="A259" s="386"/>
      <c r="J259" s="666"/>
      <c r="K259" s="387"/>
    </row>
    <row r="260" spans="1:11" ht="12.75" customHeight="1" x14ac:dyDescent="0.25">
      <c r="A260" s="386"/>
      <c r="J260" s="666"/>
      <c r="K260" s="387"/>
    </row>
    <row r="261" spans="1:11" ht="12.75" customHeight="1" x14ac:dyDescent="0.25">
      <c r="A261" s="386"/>
      <c r="J261" s="666"/>
      <c r="K261" s="387"/>
    </row>
    <row r="262" spans="1:11" ht="13.5" customHeight="1" thickBot="1" x14ac:dyDescent="0.3">
      <c r="A262" s="386"/>
      <c r="F262" s="402"/>
      <c r="J262" s="667"/>
      <c r="K262" s="387"/>
    </row>
    <row r="263" spans="1:11" ht="16" thickBot="1" x14ac:dyDescent="0.4">
      <c r="A263" s="386"/>
      <c r="G263" s="533"/>
      <c r="J263" s="534" t="str">
        <f>J254</f>
        <v>Need refresh calculation on C-Net_Module2</v>
      </c>
      <c r="K263" s="387"/>
    </row>
    <row r="264" spans="1:11" ht="13" thickBot="1" x14ac:dyDescent="0.3">
      <c r="A264" s="488"/>
      <c r="B264" s="430"/>
      <c r="C264" s="430"/>
      <c r="D264" s="430"/>
      <c r="E264" s="430"/>
      <c r="F264" s="430"/>
      <c r="G264" s="430"/>
      <c r="H264" s="430"/>
      <c r="I264" s="430"/>
      <c r="J264" s="430"/>
      <c r="K264" s="474"/>
    </row>
    <row r="291" spans="1:10" x14ac:dyDescent="0.25">
      <c r="F291" s="537"/>
    </row>
    <row r="294" spans="1:10" x14ac:dyDescent="0.25">
      <c r="F294" s="537"/>
    </row>
    <row r="295" spans="1:10" x14ac:dyDescent="0.25">
      <c r="A295" s="538"/>
      <c r="B295" s="538"/>
      <c r="C295" s="538"/>
      <c r="D295" s="538"/>
      <c r="E295" s="538"/>
      <c r="F295" s="539"/>
      <c r="G295" s="538"/>
      <c r="H295" s="538"/>
      <c r="I295" s="538"/>
      <c r="J295" s="538"/>
    </row>
    <row r="296" spans="1:10" x14ac:dyDescent="0.25">
      <c r="F296" s="537"/>
    </row>
    <row r="395" spans="3:3" x14ac:dyDescent="0.25">
      <c r="C395" s="350">
        <v>0</v>
      </c>
    </row>
    <row r="583" spans="3:3" x14ac:dyDescent="0.25">
      <c r="C583" s="350" t="b">
        <v>1</v>
      </c>
    </row>
  </sheetData>
  <sheetProtection formatRows="0"/>
  <dataConsolidate/>
  <mergeCells count="85">
    <mergeCell ref="B23:F23"/>
    <mergeCell ref="B24:F24"/>
    <mergeCell ref="B26:F26"/>
    <mergeCell ref="B27:F27"/>
    <mergeCell ref="B25:F25"/>
    <mergeCell ref="D103:E103"/>
    <mergeCell ref="F103:G103"/>
    <mergeCell ref="H103:I103"/>
    <mergeCell ref="A30:K30"/>
    <mergeCell ref="A77:K77"/>
    <mergeCell ref="B88:E88"/>
    <mergeCell ref="F88:G88"/>
    <mergeCell ref="H88:I88"/>
    <mergeCell ref="B91:E91"/>
    <mergeCell ref="F91:G91"/>
    <mergeCell ref="H91:I91"/>
    <mergeCell ref="A97:K97"/>
    <mergeCell ref="D99:E99"/>
    <mergeCell ref="F99:G99"/>
    <mergeCell ref="H99:I99"/>
    <mergeCell ref="J100:J101"/>
    <mergeCell ref="D107:E107"/>
    <mergeCell ref="F107:G107"/>
    <mergeCell ref="H107:I107"/>
    <mergeCell ref="D115:E115"/>
    <mergeCell ref="F115:G115"/>
    <mergeCell ref="H115:I115"/>
    <mergeCell ref="D145:E145"/>
    <mergeCell ref="F145:G145"/>
    <mergeCell ref="H145:I145"/>
    <mergeCell ref="J116:J121"/>
    <mergeCell ref="A129:K129"/>
    <mergeCell ref="D131:E131"/>
    <mergeCell ref="F131:G131"/>
    <mergeCell ref="H131:I131"/>
    <mergeCell ref="D136:E136"/>
    <mergeCell ref="F136:G136"/>
    <mergeCell ref="H136:I136"/>
    <mergeCell ref="D137:E137"/>
    <mergeCell ref="D138:E138"/>
    <mergeCell ref="D141:E141"/>
    <mergeCell ref="F141:G141"/>
    <mergeCell ref="H141:I141"/>
    <mergeCell ref="D155:E155"/>
    <mergeCell ref="F155:G155"/>
    <mergeCell ref="H155:I155"/>
    <mergeCell ref="D156:E156"/>
    <mergeCell ref="D158:E158"/>
    <mergeCell ref="F158:G158"/>
    <mergeCell ref="H158:I158"/>
    <mergeCell ref="D159:E159"/>
    <mergeCell ref="D160:E160"/>
    <mergeCell ref="D161:E161"/>
    <mergeCell ref="F161:G161"/>
    <mergeCell ref="H161:I161"/>
    <mergeCell ref="D218:E218"/>
    <mergeCell ref="F218:G218"/>
    <mergeCell ref="H218:I218"/>
    <mergeCell ref="J162:J165"/>
    <mergeCell ref="D163:E163"/>
    <mergeCell ref="D164:E164"/>
    <mergeCell ref="D165:E165"/>
    <mergeCell ref="D166:E166"/>
    <mergeCell ref="F166:G166"/>
    <mergeCell ref="H166:I166"/>
    <mergeCell ref="D162:E162"/>
    <mergeCell ref="D167:E167"/>
    <mergeCell ref="D202:E202"/>
    <mergeCell ref="F202:G202"/>
    <mergeCell ref="H202:I202"/>
    <mergeCell ref="A216:K216"/>
    <mergeCell ref="A221:K221"/>
    <mergeCell ref="D223:E223"/>
    <mergeCell ref="F223:G223"/>
    <mergeCell ref="H223:I223"/>
    <mergeCell ref="D227:E227"/>
    <mergeCell ref="F227:G227"/>
    <mergeCell ref="H227:I227"/>
    <mergeCell ref="J255:J262"/>
    <mergeCell ref="D235:E235"/>
    <mergeCell ref="F235:G235"/>
    <mergeCell ref="H235:I235"/>
    <mergeCell ref="D240:E240"/>
    <mergeCell ref="F240:G240"/>
    <mergeCell ref="H240:I240"/>
  </mergeCells>
  <phoneticPr fontId="31" type="noConversion"/>
  <conditionalFormatting sqref="J255">
    <cfRule type="cellIs" dxfId="46" priority="5" stopIfTrue="1" operator="equal">
      <formula>"JC"</formula>
    </cfRule>
    <cfRule type="cellIs" dxfId="45" priority="6" stopIfTrue="1" operator="notEqual">
      <formula>"JC"</formula>
    </cfRule>
  </conditionalFormatting>
  <conditionalFormatting sqref="J241">
    <cfRule type="expression" dxfId="44" priority="7" stopIfTrue="1">
      <formula>#REF!=0</formula>
    </cfRule>
  </conditionalFormatting>
  <conditionalFormatting sqref="J237:J238">
    <cfRule type="expression" dxfId="43" priority="8" stopIfTrue="1">
      <formula>#REF!&gt;=3</formula>
    </cfRule>
    <cfRule type="expression" dxfId="42" priority="9" stopIfTrue="1">
      <formula>#REF!&lt;3</formula>
    </cfRule>
  </conditionalFormatting>
  <conditionalFormatting sqref="F241:G242 G243:G245">
    <cfRule type="expression" dxfId="41" priority="10" stopIfTrue="1">
      <formula>#REF!=0</formula>
    </cfRule>
  </conditionalFormatting>
  <conditionalFormatting sqref="F243">
    <cfRule type="expression" dxfId="40" priority="11" stopIfTrue="1">
      <formula>#REF!=0</formula>
    </cfRule>
    <cfRule type="expression" dxfId="39" priority="12" stopIfTrue="1">
      <formula>#REF!&lt;3</formula>
    </cfRule>
  </conditionalFormatting>
  <conditionalFormatting sqref="J243">
    <cfRule type="expression" dxfId="38" priority="13" stopIfTrue="1">
      <formula>#REF!=0</formula>
    </cfRule>
    <cfRule type="expression" dxfId="37" priority="14" stopIfTrue="1">
      <formula>#REF!=0</formula>
    </cfRule>
  </conditionalFormatting>
  <conditionalFormatting sqref="J244:J245">
    <cfRule type="expression" dxfId="36" priority="15" stopIfTrue="1">
      <formula>#REF!=0</formula>
    </cfRule>
    <cfRule type="expression" dxfId="35" priority="16" stopIfTrue="1">
      <formula>#REF!&lt;3</formula>
    </cfRule>
    <cfRule type="expression" dxfId="34" priority="17" stopIfTrue="1">
      <formula>#REF!=3</formula>
    </cfRule>
  </conditionalFormatting>
  <conditionalFormatting sqref="F244">
    <cfRule type="expression" dxfId="33" priority="20" stopIfTrue="1">
      <formula>$D$246=0</formula>
    </cfRule>
    <cfRule type="expression" dxfId="32" priority="21" stopIfTrue="1">
      <formula>$I$249=3</formula>
    </cfRule>
    <cfRule type="expression" dxfId="31" priority="22" stopIfTrue="1">
      <formula>$I$249&lt;3</formula>
    </cfRule>
  </conditionalFormatting>
  <conditionalFormatting sqref="D157 D168 D183:D190 D196:D198 D172:D173">
    <cfRule type="cellIs" dxfId="30" priority="23" stopIfTrue="1" operator="greaterThan">
      <formula>4</formula>
    </cfRule>
  </conditionalFormatting>
  <conditionalFormatting sqref="F147:I153">
    <cfRule type="expression" dxfId="29" priority="24" stopIfTrue="1">
      <formula>$D$146=0</formula>
    </cfRule>
  </conditionalFormatting>
  <conditionalFormatting sqref="D132:D134">
    <cfRule type="cellIs" dxfId="28" priority="25" stopIfTrue="1" operator="greaterThan">
      <formula>2</formula>
    </cfRule>
  </conditionalFormatting>
  <conditionalFormatting sqref="D203 D205 D146 D142">
    <cfRule type="cellIs" dxfId="27" priority="26" stopIfTrue="1" operator="greaterThan">
      <formula>1</formula>
    </cfRule>
  </conditionalFormatting>
  <conditionalFormatting sqref="D138:D139">
    <cfRule type="expression" dxfId="26" priority="27" stopIfTrue="1">
      <formula>$D$138+$D$139&gt;$F$86</formula>
    </cfRule>
  </conditionalFormatting>
  <conditionalFormatting sqref="G142 I142">
    <cfRule type="expression" dxfId="25" priority="28" stopIfTrue="1">
      <formula>$D$142=0</formula>
    </cfRule>
  </conditionalFormatting>
  <conditionalFormatting sqref="D89:E89">
    <cfRule type="expression" dxfId="24" priority="29" stopIfTrue="1">
      <formula>$E$41=3</formula>
    </cfRule>
  </conditionalFormatting>
  <conditionalFormatting sqref="D92:E92">
    <cfRule type="expression" dxfId="23" priority="30" stopIfTrue="1">
      <formula>OR($E$41=3,$E$41=1)</formula>
    </cfRule>
  </conditionalFormatting>
  <conditionalFormatting sqref="D204">
    <cfRule type="cellIs" dxfId="22" priority="31" stopIfTrue="1" operator="greaterThan">
      <formula>5</formula>
    </cfRule>
  </conditionalFormatting>
  <conditionalFormatting sqref="F92:J92">
    <cfRule type="expression" dxfId="21" priority="32" stopIfTrue="1">
      <formula>$I$52=1</formula>
    </cfRule>
  </conditionalFormatting>
  <conditionalFormatting sqref="G116:G121 G108:G113 I104:I105 G105 I108:I113 I116:I121 F89:J89">
    <cfRule type="expression" dxfId="20" priority="33" stopIfTrue="1">
      <formula>$I$51=1</formula>
    </cfRule>
  </conditionalFormatting>
  <conditionalFormatting sqref="H104:H105 F105">
    <cfRule type="expression" dxfId="19" priority="34" stopIfTrue="1">
      <formula>$I$51=1</formula>
    </cfRule>
    <cfRule type="cellIs" dxfId="18" priority="35" stopIfTrue="1" operator="greaterThan">
      <formula>$F$85</formula>
    </cfRule>
  </conditionalFormatting>
  <conditionalFormatting sqref="H108:H113">
    <cfRule type="expression" dxfId="17" priority="36" stopIfTrue="1">
      <formula>$I$51=1</formula>
    </cfRule>
    <cfRule type="expression" dxfId="16" priority="37" stopIfTrue="1">
      <formula>$H$126&gt;$F$84</formula>
    </cfRule>
  </conditionalFormatting>
  <conditionalFormatting sqref="H116:H121">
    <cfRule type="expression" dxfId="15" priority="38" stopIfTrue="1">
      <formula>$I$51=1</formula>
    </cfRule>
    <cfRule type="expression" dxfId="14" priority="39" stopIfTrue="1">
      <formula>$H$127&gt;$F$84</formula>
    </cfRule>
  </conditionalFormatting>
  <conditionalFormatting sqref="F108:F113">
    <cfRule type="expression" dxfId="13" priority="40" stopIfTrue="1">
      <formula>$I$51=1</formula>
    </cfRule>
    <cfRule type="expression" dxfId="12" priority="41" stopIfTrue="1">
      <formula>$F$126&gt;$F$84</formula>
    </cfRule>
  </conditionalFormatting>
  <conditionalFormatting sqref="F116:F121">
    <cfRule type="expression" dxfId="11" priority="42" stopIfTrue="1">
      <formula>$I$51</formula>
    </cfRule>
    <cfRule type="expression" dxfId="10" priority="43" stopIfTrue="1">
      <formula>$F$127&gt;$F$84</formula>
    </cfRule>
  </conditionalFormatting>
  <conditionalFormatting sqref="J116:J121 J108 J111:J113">
    <cfRule type="expression" dxfId="9" priority="44" stopIfTrue="1">
      <formula>$I$51=1</formula>
    </cfRule>
  </conditionalFormatting>
  <conditionalFormatting sqref="H162:H165">
    <cfRule type="expression" dxfId="8" priority="4" stopIfTrue="1">
      <formula>OR(AND($F$162+$F$163+$F$164+$F$165+$H$162+$H$163+$H$164+$H$165&gt;2,$H162&gt;0),AND($D162="RT-Fault",$H162&gt;0))</formula>
    </cfRule>
  </conditionalFormatting>
  <conditionalFormatting sqref="F142 H142">
    <cfRule type="expression" dxfId="7" priority="45" stopIfTrue="1">
      <formula>$D$142=0</formula>
    </cfRule>
    <cfRule type="cellIs" dxfId="6" priority="46" stopIfTrue="1" operator="notBetween">
      <formula>$G$210</formula>
      <formula>$I$210</formula>
    </cfRule>
  </conditionalFormatting>
  <conditionalFormatting sqref="F237">
    <cfRule type="expression" dxfId="5" priority="18" stopIfTrue="1">
      <formula>$I$246&gt;=3</formula>
    </cfRule>
    <cfRule type="expression" dxfId="4" priority="19" stopIfTrue="1">
      <formula>$I$246&lt;3</formula>
    </cfRule>
  </conditionalFormatting>
  <conditionalFormatting sqref="F162:F165">
    <cfRule type="expression" dxfId="3" priority="47" stopIfTrue="1">
      <formula>OR(AND($F$162+$F$163+$F$164+$F$165+$H$162+$H$163+$H$164+$H$165&gt;2,$F162&gt;0),AND($D162&lt;&gt;"RT-Fault",$F162&lt;&gt;0))</formula>
    </cfRule>
  </conditionalFormatting>
  <conditionalFormatting sqref="H100">
    <cfRule type="expression" dxfId="2" priority="3">
      <formula>OR(H$100&gt;F$83,AND(H$100&gt;0, H$100+H$101&gt;F$82))</formula>
    </cfRule>
  </conditionalFormatting>
  <conditionalFormatting sqref="H101">
    <cfRule type="expression" dxfId="1" priority="2">
      <formula>OR(H$101&gt;F$83,AND(H$101&gt;0, H$100+H$101&gt;F$82))</formula>
    </cfRule>
  </conditionalFormatting>
  <conditionalFormatting sqref="J255:J262">
    <cfRule type="cellIs" dxfId="0" priority="1" operator="equal">
      <formula>"KF"</formula>
    </cfRule>
  </conditionalFormatting>
  <dataValidations count="6">
    <dataValidation type="list" allowBlank="1" showInputMessage="1" showErrorMessage="1" sqref="D159:E159" xr:uid="{D8CFA331-520C-4C55-81B7-9C3063C08B33}">
      <formula1>$B$175:$B$176</formula1>
    </dataValidation>
    <dataValidation type="list" allowBlank="1" showInputMessage="1" showErrorMessage="1" sqref="D160:E160" xr:uid="{88B99817-CB34-4C3E-B184-6F816A9549CA}">
      <formula1>$B$180:$B$181</formula1>
    </dataValidation>
    <dataValidation type="list" allowBlank="1" showInputMessage="1" showErrorMessage="1" sqref="D162:E165" xr:uid="{81E8A0BC-6A4B-41B7-857D-5815ABA1CD16}">
      <formula1>$B$185:$B$188</formula1>
    </dataValidation>
    <dataValidation type="list" allowBlank="1" showInputMessage="1" showErrorMessage="1" sqref="D167:E167" xr:uid="{8949293E-56B3-4B25-B1B8-0A3F2458FA4E}">
      <formula1>$B$200:$B$201</formula1>
    </dataValidation>
    <dataValidation type="decimal" allowBlank="1" showInputMessage="1" showErrorMessage="1" sqref="H100:H101 H108 F108" xr:uid="{9F43136B-FB28-48EF-B0E7-9EEE00656240}">
      <formula1>0</formula1>
      <formula2>10</formula2>
    </dataValidation>
    <dataValidation type="decimal" allowBlank="1" showInputMessage="1" showErrorMessage="1" sqref="F162:F165 H162:H165" xr:uid="{7D5AE431-7605-4361-A3E9-864D0F3426F5}">
      <formula1>0</formula1>
      <formula2>1</formula2>
    </dataValidation>
  </dataValidations>
  <pageMargins left="0.78740157480314965" right="0.78740157480314965" top="0.78740157480314965" bottom="0.78740157480314965" header="0.39370078740157483" footer="0.39370078740157483"/>
  <pageSetup paperSize="8" scale="71" orientation="portrait" r:id="rId1"/>
  <headerFooter alignWithMargins="0">
    <oddHeader>&amp;L&amp;G&amp;RFX2010 Sinteso Quantities Tool</oddHeader>
    <oddFooter>&amp;R&amp;F
&amp;D&amp;LUnrestricted  Building Technologies
Fire Safety + Security Products</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512897" r:id="rId5" name="Drop Down 1">
              <controlPr defaultSize="0" autoLine="0" autoPict="0" macro="[0]!StationChoiceDropdown_ByChange">
                <anchor moveWithCells="1">
                  <from>
                    <xdr:col>2</xdr:col>
                    <xdr:colOff>222250</xdr:colOff>
                    <xdr:row>57</xdr:row>
                    <xdr:rowOff>31750</xdr:rowOff>
                  </from>
                  <to>
                    <xdr:col>4</xdr:col>
                    <xdr:colOff>342900</xdr:colOff>
                    <xdr:row>57</xdr:row>
                    <xdr:rowOff>469900</xdr:rowOff>
                  </to>
                </anchor>
              </controlPr>
            </control>
          </mc:Choice>
        </mc:AlternateContent>
        <mc:AlternateContent xmlns:mc="http://schemas.openxmlformats.org/markup-compatibility/2006">
          <mc:Choice Requires="x14">
            <control shapeId="2512898" r:id="rId6" name="Drop Down 2">
              <controlPr defaultSize="0" autoLine="0" autoPict="0">
                <anchor moveWithCells="1">
                  <from>
                    <xdr:col>2</xdr:col>
                    <xdr:colOff>222250</xdr:colOff>
                    <xdr:row>58</xdr:row>
                    <xdr:rowOff>38100</xdr:rowOff>
                  </from>
                  <to>
                    <xdr:col>4</xdr:col>
                    <xdr:colOff>342900</xdr:colOff>
                    <xdr:row>58</xdr:row>
                    <xdr:rowOff>469900</xdr:rowOff>
                  </to>
                </anchor>
              </controlPr>
            </control>
          </mc:Choice>
        </mc:AlternateContent>
        <mc:AlternateContent xmlns:mc="http://schemas.openxmlformats.org/markup-compatibility/2006">
          <mc:Choice Requires="x14">
            <control shapeId="2512899" r:id="rId7" name="Button 3">
              <controlPr defaultSize="0" print="0" autoFill="0" autoPict="0" macro="[0]!Calculate_ByClick">
                <anchor moveWithCells="1" sizeWithCells="1">
                  <from>
                    <xdr:col>6</xdr:col>
                    <xdr:colOff>0</xdr:colOff>
                    <xdr:row>60</xdr:row>
                    <xdr:rowOff>0</xdr:rowOff>
                  </from>
                  <to>
                    <xdr:col>8</xdr:col>
                    <xdr:colOff>50800</xdr:colOff>
                    <xdr:row>60</xdr:row>
                    <xdr:rowOff>0</xdr:rowOff>
                  </to>
                </anchor>
              </controlPr>
            </control>
          </mc:Choice>
        </mc:AlternateContent>
        <mc:AlternateContent xmlns:mc="http://schemas.openxmlformats.org/markup-compatibility/2006">
          <mc:Choice Requires="x14">
            <control shapeId="2512900" r:id="rId8" name="Button 4">
              <controlPr defaultSize="0" print="0" autoFill="0" autoPict="0" macro="[0]!AddCardCage5_ByClick">
                <anchor moveWithCells="1" sizeWithCells="1">
                  <from>
                    <xdr:col>6</xdr:col>
                    <xdr:colOff>12700</xdr:colOff>
                    <xdr:row>60</xdr:row>
                    <xdr:rowOff>0</xdr:rowOff>
                  </from>
                  <to>
                    <xdr:col>8</xdr:col>
                    <xdr:colOff>69850</xdr:colOff>
                    <xdr:row>60</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0BFB99AE-610E-4D76-860D-E1E3FEE53DF4}">
          <x14:formula1>
            <xm:f>Panel_comp!$A$97:$A$99</xm:f>
          </x14:formula1>
          <xm:sqref>D156:E156</xm:sqref>
        </x14:dataValidation>
        <x14:dataValidation type="list" allowBlank="1" showInputMessage="1" showErrorMessage="1" xr:uid="{661D1D7F-EC02-436F-964C-510B53C2E508}">
          <x14:formula1>
            <xm:f>Panel_comp!$O$80:$P$80</xm:f>
          </x14:formula1>
          <xm:sqref>D137:E137</xm:sqref>
        </x14:dataValidation>
        <x14:dataValidation type="list" allowBlank="1" showInputMessage="1" showErrorMessage="1" xr:uid="{B8F920B0-22F3-4F82-98A3-7045B2D66FDC}">
          <x14:formula1>
            <xm:f>Panel_comp!$A$81:$A$83</xm:f>
          </x14:formula1>
          <xm:sqref>D138:E138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920E8-1AE3-406E-A07A-2B0121105BB5}">
  <sheetPr codeName="Tabelle4">
    <outlinePr summaryBelow="0"/>
    <pageSetUpPr autoPageBreaks="0" fitToPage="1"/>
  </sheetPr>
  <dimension ref="A1:AF589"/>
  <sheetViews>
    <sheetView showRuler="0" zoomScaleNormal="100" zoomScaleSheetLayoutView="75" workbookViewId="0">
      <selection activeCell="C84" sqref="C84"/>
    </sheetView>
  </sheetViews>
  <sheetFormatPr defaultColWidth="9.1796875" defaultRowHeight="12.5" outlineLevelRow="1" x14ac:dyDescent="0.25"/>
  <cols>
    <col min="1" max="1" width="2.7265625" style="42" customWidth="1"/>
    <col min="2" max="2" width="87.81640625" style="42" customWidth="1"/>
    <col min="3" max="4" width="8.7265625" style="42" customWidth="1"/>
    <col min="5" max="18" width="8.7265625" style="42" hidden="1" customWidth="1"/>
    <col min="19" max="19" width="2.7265625" style="42" customWidth="1"/>
    <col min="20" max="20" width="5" style="42" customWidth="1"/>
    <col min="21" max="28" width="11.453125" style="42" hidden="1" customWidth="1"/>
    <col min="29" max="31" width="16.7265625" style="42" hidden="1" customWidth="1"/>
    <col min="32" max="32" width="92.26953125" style="42" hidden="1" customWidth="1"/>
    <col min="33" max="16384" width="9.1796875" style="42"/>
  </cols>
  <sheetData>
    <row r="1" spans="1:30" ht="18" x14ac:dyDescent="0.4">
      <c r="A1" s="41"/>
      <c r="B1" s="41" t="s">
        <v>860</v>
      </c>
    </row>
    <row r="3" spans="1:30" ht="13" x14ac:dyDescent="0.3">
      <c r="B3" s="43" t="s">
        <v>2</v>
      </c>
    </row>
    <row r="4" spans="1:30" x14ac:dyDescent="0.25">
      <c r="B4" s="42" t="s">
        <v>252</v>
      </c>
    </row>
    <row r="5" spans="1:30" x14ac:dyDescent="0.25">
      <c r="B5" s="44" t="s">
        <v>253</v>
      </c>
    </row>
    <row r="6" spans="1:30" x14ac:dyDescent="0.25">
      <c r="B6" s="44" t="s">
        <v>552</v>
      </c>
    </row>
    <row r="7" spans="1:30" x14ac:dyDescent="0.25">
      <c r="B7" s="44"/>
      <c r="AD7" s="45"/>
    </row>
    <row r="8" spans="1:30" hidden="1" x14ac:dyDescent="0.25">
      <c r="B8" s="44"/>
    </row>
    <row r="10" spans="1:30" ht="13" x14ac:dyDescent="0.3">
      <c r="B10" s="43" t="s">
        <v>1</v>
      </c>
    </row>
    <row r="11" spans="1:30" x14ac:dyDescent="0.25">
      <c r="B11" s="46"/>
    </row>
    <row r="12" spans="1:30" x14ac:dyDescent="0.25">
      <c r="B12" s="47" t="s">
        <v>850</v>
      </c>
    </row>
    <row r="13" spans="1:30" x14ac:dyDescent="0.25">
      <c r="B13" s="47" t="s">
        <v>952</v>
      </c>
    </row>
    <row r="14" spans="1:30" x14ac:dyDescent="0.25">
      <c r="B14" s="47" t="s">
        <v>851</v>
      </c>
    </row>
    <row r="15" spans="1:30" x14ac:dyDescent="0.25">
      <c r="B15" s="47" t="s">
        <v>852</v>
      </c>
    </row>
    <row r="16" spans="1:30" x14ac:dyDescent="0.25">
      <c r="B16" s="652" t="s">
        <v>853</v>
      </c>
    </row>
    <row r="17" spans="2:14" x14ac:dyDescent="0.25">
      <c r="B17" s="653" t="s">
        <v>854</v>
      </c>
    </row>
    <row r="18" spans="2:14" x14ac:dyDescent="0.25">
      <c r="B18" s="653" t="s">
        <v>855</v>
      </c>
    </row>
    <row r="19" spans="2:14" x14ac:dyDescent="0.25">
      <c r="B19" s="652" t="s">
        <v>953</v>
      </c>
    </row>
    <row r="20" spans="2:14" x14ac:dyDescent="0.25">
      <c r="B20" s="652" t="s">
        <v>856</v>
      </c>
    </row>
    <row r="21" spans="2:14" x14ac:dyDescent="0.25">
      <c r="B21" s="652" t="s">
        <v>857</v>
      </c>
      <c r="C21" s="44"/>
    </row>
    <row r="22" spans="2:14" ht="13" x14ac:dyDescent="0.3">
      <c r="B22" s="652" t="s">
        <v>858</v>
      </c>
      <c r="N22" s="43"/>
    </row>
    <row r="23" spans="2:14" ht="13" x14ac:dyDescent="0.3">
      <c r="B23" s="653" t="s">
        <v>859</v>
      </c>
      <c r="N23" s="43"/>
    </row>
    <row r="24" spans="2:14" x14ac:dyDescent="0.25">
      <c r="B24" s="44" t="s">
        <v>861</v>
      </c>
    </row>
    <row r="25" spans="2:14" x14ac:dyDescent="0.25">
      <c r="B25" s="44"/>
      <c r="L25" s="49"/>
      <c r="N25" s="50"/>
    </row>
    <row r="26" spans="2:14" hidden="1" x14ac:dyDescent="0.25">
      <c r="B26" s="47"/>
      <c r="N26" s="50"/>
    </row>
    <row r="27" spans="2:14" hidden="1" x14ac:dyDescent="0.25">
      <c r="B27" s="47"/>
      <c r="C27" s="47"/>
      <c r="N27" s="50"/>
    </row>
    <row r="28" spans="2:14" hidden="1" x14ac:dyDescent="0.25">
      <c r="B28" s="47"/>
      <c r="N28" s="50"/>
    </row>
    <row r="29" spans="2:14" hidden="1" x14ac:dyDescent="0.25">
      <c r="B29" s="44"/>
      <c r="N29" s="50"/>
    </row>
    <row r="30" spans="2:14" hidden="1" x14ac:dyDescent="0.25">
      <c r="B30" s="44"/>
      <c r="N30" s="50"/>
    </row>
    <row r="31" spans="2:14" x14ac:dyDescent="0.25">
      <c r="N31" s="50"/>
    </row>
    <row r="32" spans="2:14" ht="13" x14ac:dyDescent="0.3">
      <c r="B32" s="43" t="s">
        <v>3</v>
      </c>
      <c r="N32" s="50"/>
    </row>
    <row r="33" spans="1:21" x14ac:dyDescent="0.25">
      <c r="B33" s="50" t="s">
        <v>556</v>
      </c>
      <c r="N33" s="50"/>
    </row>
    <row r="34" spans="1:21" ht="13" x14ac:dyDescent="0.3">
      <c r="B34" s="43"/>
      <c r="N34" s="50"/>
    </row>
    <row r="35" spans="1:21" ht="13" x14ac:dyDescent="0.3">
      <c r="B35" s="51" t="s">
        <v>557</v>
      </c>
      <c r="C35" s="52"/>
      <c r="N35" s="50"/>
    </row>
    <row r="36" spans="1:21" ht="13" x14ac:dyDescent="0.3">
      <c r="B36" s="53" t="s">
        <v>558</v>
      </c>
      <c r="C36" s="54"/>
      <c r="N36" s="50"/>
    </row>
    <row r="37" spans="1:21" x14ac:dyDescent="0.25">
      <c r="B37" s="55" t="s">
        <v>559</v>
      </c>
      <c r="C37" s="54"/>
      <c r="N37" s="50"/>
    </row>
    <row r="38" spans="1:21" x14ac:dyDescent="0.25">
      <c r="B38" s="56" t="s">
        <v>560</v>
      </c>
      <c r="C38" s="54"/>
      <c r="N38" s="50"/>
    </row>
    <row r="39" spans="1:21" x14ac:dyDescent="0.25">
      <c r="N39" s="50"/>
    </row>
    <row r="40" spans="1:21" x14ac:dyDescent="0.25">
      <c r="N40" s="50"/>
    </row>
    <row r="41" spans="1:21" x14ac:dyDescent="0.25">
      <c r="N41" s="50"/>
    </row>
    <row r="42" spans="1:21" x14ac:dyDescent="0.25">
      <c r="N42" s="50"/>
    </row>
    <row r="43" spans="1:21" x14ac:dyDescent="0.25">
      <c r="N43" s="50"/>
    </row>
    <row r="44" spans="1:21" x14ac:dyDescent="0.25">
      <c r="B44" s="57"/>
      <c r="C44" s="54"/>
      <c r="N44" s="50"/>
    </row>
    <row r="45" spans="1:21" ht="13" thickBot="1" x14ac:dyDescent="0.3">
      <c r="B45" s="58"/>
    </row>
    <row r="46" spans="1:21" ht="16" thickBot="1" x14ac:dyDescent="0.4">
      <c r="A46" s="706" t="s">
        <v>254</v>
      </c>
      <c r="B46" s="707"/>
      <c r="C46" s="707"/>
      <c r="D46" s="707"/>
      <c r="E46" s="707"/>
      <c r="F46" s="707"/>
      <c r="G46" s="707"/>
      <c r="H46" s="707"/>
      <c r="I46" s="707"/>
      <c r="J46" s="707"/>
      <c r="K46" s="707"/>
      <c r="L46" s="707"/>
      <c r="M46" s="707"/>
      <c r="N46" s="707"/>
      <c r="O46" s="707"/>
      <c r="P46" s="707"/>
      <c r="Q46" s="707"/>
      <c r="R46" s="707"/>
      <c r="S46" s="708"/>
    </row>
    <row r="47" spans="1:21" x14ac:dyDescent="0.25">
      <c r="A47" s="59"/>
      <c r="B47" s="60"/>
      <c r="S47" s="61"/>
    </row>
    <row r="48" spans="1:21" s="66" customFormat="1" ht="13" hidden="1" x14ac:dyDescent="0.3">
      <c r="A48" s="62"/>
      <c r="B48" s="63" t="s">
        <v>37</v>
      </c>
      <c r="C48" s="63"/>
      <c r="D48" s="63"/>
      <c r="E48" s="63"/>
      <c r="F48" s="64"/>
      <c r="G48" s="64"/>
      <c r="H48" s="64"/>
      <c r="I48" s="64"/>
      <c r="J48" s="64"/>
      <c r="K48" s="64"/>
      <c r="L48" s="64"/>
      <c r="M48" s="64"/>
      <c r="N48" s="64"/>
      <c r="O48" s="64"/>
      <c r="P48" s="64"/>
      <c r="Q48" s="64"/>
      <c r="R48" s="64"/>
      <c r="S48" s="65"/>
      <c r="U48" s="43" t="s">
        <v>136</v>
      </c>
    </row>
    <row r="49" spans="1:21" s="66" customFormat="1" ht="13" hidden="1" x14ac:dyDescent="0.3">
      <c r="A49" s="62"/>
      <c r="B49" s="67"/>
      <c r="C49" s="64"/>
      <c r="D49" s="68"/>
      <c r="E49" s="64"/>
      <c r="F49" s="64"/>
      <c r="G49" s="64"/>
      <c r="H49" s="69"/>
      <c r="I49" s="64"/>
      <c r="J49" s="64"/>
      <c r="K49" s="64"/>
      <c r="L49" s="70"/>
      <c r="M49" s="64"/>
      <c r="N49" s="64"/>
      <c r="O49" s="64"/>
      <c r="P49" s="70"/>
      <c r="Q49" s="64"/>
      <c r="R49" s="64"/>
      <c r="S49" s="65"/>
      <c r="U49" s="71" t="s">
        <v>561</v>
      </c>
    </row>
    <row r="50" spans="1:21" s="66" customFormat="1" ht="13" hidden="1" x14ac:dyDescent="0.3">
      <c r="A50" s="62"/>
      <c r="B50" s="72"/>
      <c r="C50" s="73" t="s">
        <v>562</v>
      </c>
      <c r="D50" s="74"/>
      <c r="E50" s="64"/>
      <c r="F50" s="64"/>
      <c r="G50" s="73" t="s">
        <v>562</v>
      </c>
      <c r="H50" s="74"/>
      <c r="I50" s="64"/>
      <c r="J50" s="64"/>
      <c r="K50" s="73" t="s">
        <v>562</v>
      </c>
      <c r="L50" s="663"/>
      <c r="M50" s="64"/>
      <c r="N50" s="64"/>
      <c r="O50" s="73" t="s">
        <v>562</v>
      </c>
      <c r="P50" s="663"/>
      <c r="Q50" s="64"/>
      <c r="R50" s="64"/>
      <c r="S50" s="65"/>
      <c r="U50" s="71" t="s">
        <v>563</v>
      </c>
    </row>
    <row r="51" spans="1:21" s="66" customFormat="1" ht="13" hidden="1" x14ac:dyDescent="0.3">
      <c r="A51" s="62"/>
      <c r="B51" s="75"/>
      <c r="C51" s="76" t="s">
        <v>978</v>
      </c>
      <c r="D51" s="64"/>
      <c r="E51" s="64"/>
      <c r="F51" s="64"/>
      <c r="G51" s="76" t="s">
        <v>978</v>
      </c>
      <c r="H51" s="663"/>
      <c r="I51" s="64"/>
      <c r="J51" s="663"/>
      <c r="K51" s="76" t="s">
        <v>978</v>
      </c>
      <c r="L51" s="663"/>
      <c r="M51" s="64"/>
      <c r="N51" s="663"/>
      <c r="O51" s="76" t="s">
        <v>978</v>
      </c>
      <c r="P51" s="663"/>
      <c r="Q51" s="64"/>
      <c r="R51" s="64"/>
      <c r="S51" s="65"/>
      <c r="U51" s="71" t="s">
        <v>564</v>
      </c>
    </row>
    <row r="52" spans="1:21" s="66" customFormat="1" ht="13" hidden="1" x14ac:dyDescent="0.3">
      <c r="A52" s="62"/>
      <c r="B52" s="75"/>
      <c r="C52" s="77"/>
      <c r="D52" s="77"/>
      <c r="E52" s="77"/>
      <c r="F52" s="77"/>
      <c r="G52" s="77"/>
      <c r="H52" s="77"/>
      <c r="I52" s="77"/>
      <c r="J52" s="77"/>
      <c r="K52" s="77"/>
      <c r="L52" s="77"/>
      <c r="M52" s="77"/>
      <c r="N52" s="77"/>
      <c r="O52" s="77"/>
      <c r="P52" s="77"/>
      <c r="Q52" s="77"/>
      <c r="R52" s="77"/>
      <c r="S52" s="65"/>
      <c r="U52" s="71" t="s">
        <v>565</v>
      </c>
    </row>
    <row r="53" spans="1:21" s="66" customFormat="1" ht="13" hidden="1" x14ac:dyDescent="0.3">
      <c r="A53" s="62"/>
      <c r="B53" s="75"/>
      <c r="C53" s="78" t="s">
        <v>566</v>
      </c>
      <c r="D53" s="79"/>
      <c r="E53" s="78" t="s">
        <v>567</v>
      </c>
      <c r="F53" s="79"/>
      <c r="G53" s="78" t="s">
        <v>568</v>
      </c>
      <c r="H53" s="80"/>
      <c r="I53" s="78" t="s">
        <v>569</v>
      </c>
      <c r="J53" s="80"/>
      <c r="K53" s="78" t="s">
        <v>570</v>
      </c>
      <c r="L53" s="662"/>
      <c r="M53" s="78" t="s">
        <v>571</v>
      </c>
      <c r="N53" s="77"/>
      <c r="O53" s="78" t="s">
        <v>572</v>
      </c>
      <c r="P53" s="662"/>
      <c r="Q53" s="78" t="s">
        <v>573</v>
      </c>
      <c r="R53" s="77"/>
      <c r="S53" s="65"/>
      <c r="U53" s="66" t="s">
        <v>574</v>
      </c>
    </row>
    <row r="54" spans="1:21" s="66" customFormat="1" ht="13" hidden="1" x14ac:dyDescent="0.3">
      <c r="A54" s="62"/>
      <c r="B54" s="75"/>
      <c r="C54" s="81" t="b">
        <v>1</v>
      </c>
      <c r="D54" s="82"/>
      <c r="E54" s="83" t="b">
        <v>0</v>
      </c>
      <c r="F54" s="82"/>
      <c r="G54" s="81" t="b">
        <v>0</v>
      </c>
      <c r="H54" s="82"/>
      <c r="I54" s="83" t="b">
        <v>0</v>
      </c>
      <c r="J54" s="82"/>
      <c r="K54" s="83" t="b">
        <v>0</v>
      </c>
      <c r="L54" s="662"/>
      <c r="M54" s="83" t="b">
        <v>0</v>
      </c>
      <c r="N54" s="662"/>
      <c r="O54" s="83" t="b">
        <v>0</v>
      </c>
      <c r="P54" s="662"/>
      <c r="Q54" s="83" t="b">
        <v>0</v>
      </c>
      <c r="R54" s="77"/>
      <c r="S54" s="65"/>
      <c r="U54" s="66" t="s">
        <v>575</v>
      </c>
    </row>
    <row r="55" spans="1:21" s="66" customFormat="1" ht="13" hidden="1" x14ac:dyDescent="0.3">
      <c r="A55" s="62"/>
      <c r="B55" s="75"/>
      <c r="C55" s="77"/>
      <c r="D55" s="77"/>
      <c r="E55" s="77"/>
      <c r="F55" s="77"/>
      <c r="G55" s="77"/>
      <c r="H55" s="77"/>
      <c r="I55" s="77"/>
      <c r="J55" s="77"/>
      <c r="K55" s="77"/>
      <c r="L55" s="77"/>
      <c r="M55" s="77"/>
      <c r="N55" s="77"/>
      <c r="O55" s="77"/>
      <c r="P55" s="77"/>
      <c r="Q55" s="77"/>
      <c r="R55" s="78"/>
      <c r="S55" s="65"/>
      <c r="U55" s="66" t="s">
        <v>576</v>
      </c>
    </row>
    <row r="56" spans="1:21" s="66" customFormat="1" ht="13" hidden="1" x14ac:dyDescent="0.3">
      <c r="A56" s="62"/>
      <c r="B56" s="78" t="s">
        <v>577</v>
      </c>
      <c r="C56" s="77"/>
      <c r="D56" s="77"/>
      <c r="E56" s="77"/>
      <c r="F56" s="77"/>
      <c r="G56" s="77"/>
      <c r="H56" s="77"/>
      <c r="I56" s="77"/>
      <c r="J56" s="77"/>
      <c r="K56" s="77"/>
      <c r="L56" s="77"/>
      <c r="M56" s="77"/>
      <c r="N56" s="77"/>
      <c r="O56" s="77"/>
      <c r="P56" s="77"/>
      <c r="Q56" s="77"/>
      <c r="R56" s="662"/>
      <c r="S56" s="65"/>
      <c r="U56" s="66" t="s">
        <v>578</v>
      </c>
    </row>
    <row r="57" spans="1:21" s="66" customFormat="1" ht="13" hidden="1" x14ac:dyDescent="0.3">
      <c r="A57" s="62"/>
      <c r="B57" s="83">
        <v>1</v>
      </c>
      <c r="C57" s="64" t="s">
        <v>579</v>
      </c>
      <c r="D57" s="663"/>
      <c r="E57" s="64"/>
      <c r="F57" s="64"/>
      <c r="G57" s="64"/>
      <c r="H57" s="663"/>
      <c r="I57" s="64"/>
      <c r="J57" s="663"/>
      <c r="K57" s="64"/>
      <c r="L57" s="663"/>
      <c r="M57" s="64"/>
      <c r="N57" s="663"/>
      <c r="O57" s="64"/>
      <c r="P57" s="663"/>
      <c r="Q57" s="64"/>
      <c r="R57" s="64"/>
      <c r="S57" s="65"/>
      <c r="U57" s="66" t="s">
        <v>580</v>
      </c>
    </row>
    <row r="58" spans="1:21" s="66" customFormat="1" ht="13" hidden="1" x14ac:dyDescent="0.3">
      <c r="A58" s="62"/>
      <c r="B58" s="70"/>
      <c r="C58" s="64"/>
      <c r="D58" s="64"/>
      <c r="E58" s="64"/>
      <c r="F58" s="64"/>
      <c r="G58" s="64"/>
      <c r="H58" s="64"/>
      <c r="I58" s="64"/>
      <c r="J58" s="663"/>
      <c r="K58" s="64"/>
      <c r="L58" s="663"/>
      <c r="M58" s="64"/>
      <c r="N58" s="663"/>
      <c r="O58" s="64"/>
      <c r="P58" s="663"/>
      <c r="Q58" s="64"/>
      <c r="R58" s="64"/>
      <c r="S58" s="65"/>
    </row>
    <row r="59" spans="1:21" s="66" customFormat="1" hidden="1" x14ac:dyDescent="0.25">
      <c r="A59" s="62"/>
      <c r="B59" s="74"/>
      <c r="C59" s="64"/>
      <c r="D59" s="64"/>
      <c r="E59" s="64"/>
      <c r="F59" s="64"/>
      <c r="G59" s="64"/>
      <c r="H59" s="64"/>
      <c r="I59" s="64"/>
      <c r="J59" s="663"/>
      <c r="K59" s="64"/>
      <c r="L59" s="663"/>
      <c r="M59" s="64"/>
      <c r="N59" s="663"/>
      <c r="O59" s="64"/>
      <c r="P59" s="663"/>
      <c r="Q59" s="64"/>
      <c r="R59" s="64"/>
      <c r="S59" s="65"/>
    </row>
    <row r="60" spans="1:21" s="66" customFormat="1" hidden="1" x14ac:dyDescent="0.25">
      <c r="A60" s="62"/>
      <c r="B60" s="74"/>
      <c r="C60" s="64"/>
      <c r="D60" s="64"/>
      <c r="E60" s="64"/>
      <c r="F60" s="64"/>
      <c r="G60" s="64"/>
      <c r="H60" s="64"/>
      <c r="I60" s="64"/>
      <c r="J60" s="663"/>
      <c r="K60" s="64"/>
      <c r="L60" s="663"/>
      <c r="M60" s="64"/>
      <c r="N60" s="663"/>
      <c r="O60" s="64"/>
      <c r="P60" s="663"/>
      <c r="Q60" s="64"/>
      <c r="R60" s="64"/>
      <c r="S60" s="65"/>
    </row>
    <row r="61" spans="1:21" s="66" customFormat="1" ht="39.75" customHeight="1" thickBot="1" x14ac:dyDescent="0.3">
      <c r="A61" s="84"/>
      <c r="B61" s="85" t="s">
        <v>581</v>
      </c>
      <c r="J61" s="86"/>
      <c r="N61" s="86"/>
      <c r="S61" s="87"/>
    </row>
    <row r="62" spans="1:21" s="66" customFormat="1" ht="13" hidden="1" x14ac:dyDescent="0.3">
      <c r="A62" s="62"/>
      <c r="B62" s="70" t="s">
        <v>582</v>
      </c>
      <c r="C62" s="64"/>
      <c r="D62" s="64"/>
      <c r="E62" s="64"/>
      <c r="F62" s="64"/>
      <c r="G62" s="64"/>
      <c r="H62" s="64"/>
      <c r="I62" s="64"/>
      <c r="J62" s="663"/>
      <c r="K62" s="64"/>
      <c r="L62" s="663"/>
      <c r="M62" s="64"/>
      <c r="N62" s="663"/>
      <c r="O62" s="64"/>
      <c r="P62" s="663"/>
      <c r="Q62" s="64"/>
      <c r="R62" s="64"/>
      <c r="S62" s="65"/>
    </row>
    <row r="63" spans="1:21" s="66" customFormat="1" hidden="1" x14ac:dyDescent="0.25">
      <c r="A63" s="62"/>
      <c r="B63" s="76" t="s">
        <v>974</v>
      </c>
      <c r="C63" s="64" t="s">
        <v>582</v>
      </c>
      <c r="D63" s="64"/>
      <c r="E63" s="64"/>
      <c r="F63" s="64"/>
      <c r="G63" s="64"/>
      <c r="H63" s="64"/>
      <c r="I63" s="64"/>
      <c r="J63" s="663"/>
      <c r="K63" s="64"/>
      <c r="L63" s="663"/>
      <c r="M63" s="64"/>
      <c r="N63" s="663"/>
      <c r="O63" s="64"/>
      <c r="P63" s="663"/>
      <c r="Q63" s="64"/>
      <c r="R63" s="64"/>
      <c r="S63" s="65"/>
    </row>
    <row r="64" spans="1:21" s="66" customFormat="1" hidden="1" x14ac:dyDescent="0.25">
      <c r="A64" s="62"/>
      <c r="B64" s="88">
        <v>5.3333333333333332E-3</v>
      </c>
      <c r="C64" s="64" t="s">
        <v>583</v>
      </c>
      <c r="D64" s="64"/>
      <c r="E64" s="64"/>
      <c r="F64" s="64"/>
      <c r="G64" s="64"/>
      <c r="H64" s="64"/>
      <c r="I64" s="64"/>
      <c r="J64" s="663"/>
      <c r="K64" s="64"/>
      <c r="L64" s="663"/>
      <c r="M64" s="64"/>
      <c r="N64" s="663"/>
      <c r="O64" s="64"/>
      <c r="P64" s="663"/>
      <c r="Q64" s="64"/>
      <c r="R64" s="64"/>
      <c r="S64" s="65"/>
    </row>
    <row r="65" spans="1:32" s="66" customFormat="1" hidden="1" x14ac:dyDescent="0.25">
      <c r="A65" s="62"/>
      <c r="B65" s="76">
        <v>4.0000000000000002E-4</v>
      </c>
      <c r="C65" s="64" t="s">
        <v>584</v>
      </c>
      <c r="D65" s="64"/>
      <c r="E65" s="64"/>
      <c r="F65" s="64"/>
      <c r="G65" s="64"/>
      <c r="H65" s="663"/>
      <c r="I65" s="64"/>
      <c r="J65" s="663"/>
      <c r="K65" s="64"/>
      <c r="L65" s="663"/>
      <c r="M65" s="64"/>
      <c r="N65" s="663"/>
      <c r="O65" s="64"/>
      <c r="P65" s="663"/>
      <c r="Q65" s="64"/>
      <c r="R65" s="64"/>
      <c r="S65" s="65"/>
    </row>
    <row r="66" spans="1:32" s="66" customFormat="1" hidden="1" x14ac:dyDescent="0.25">
      <c r="A66" s="62"/>
      <c r="B66" s="74"/>
      <c r="C66" s="64"/>
      <c r="D66" s="64"/>
      <c r="E66" s="64"/>
      <c r="F66" s="64"/>
      <c r="G66" s="64"/>
      <c r="H66" s="663"/>
      <c r="I66" s="64"/>
      <c r="J66" s="663"/>
      <c r="K66" s="64"/>
      <c r="L66" s="663"/>
      <c r="M66" s="64"/>
      <c r="N66" s="663"/>
      <c r="O66" s="64"/>
      <c r="P66" s="663"/>
      <c r="Q66" s="64"/>
      <c r="R66" s="64"/>
      <c r="S66" s="65"/>
    </row>
    <row r="67" spans="1:32" s="66" customFormat="1" hidden="1" x14ac:dyDescent="0.25">
      <c r="A67" s="62"/>
      <c r="B67" s="74"/>
      <c r="C67" s="64"/>
      <c r="D67" s="64"/>
      <c r="E67" s="64"/>
      <c r="F67" s="64"/>
      <c r="G67" s="64"/>
      <c r="H67" s="663"/>
      <c r="I67" s="64"/>
      <c r="J67" s="663"/>
      <c r="K67" s="64"/>
      <c r="L67" s="663"/>
      <c r="M67" s="64"/>
      <c r="N67" s="663"/>
      <c r="O67" s="64"/>
      <c r="P67" s="663"/>
      <c r="Q67" s="64"/>
      <c r="R67" s="64"/>
      <c r="S67" s="65"/>
    </row>
    <row r="68" spans="1:32" s="66" customFormat="1" ht="39.75" hidden="1" customHeight="1" x14ac:dyDescent="0.25">
      <c r="A68" s="62"/>
      <c r="B68" s="89" t="s">
        <v>585</v>
      </c>
      <c r="C68" s="64"/>
      <c r="D68" s="64"/>
      <c r="E68" s="64"/>
      <c r="F68" s="64"/>
      <c r="G68" s="64"/>
      <c r="H68" s="663"/>
      <c r="I68" s="64"/>
      <c r="J68" s="663"/>
      <c r="K68" s="64"/>
      <c r="L68" s="663"/>
      <c r="M68" s="64"/>
      <c r="N68" s="663"/>
      <c r="O68" s="64"/>
      <c r="P68" s="663"/>
      <c r="Q68" s="64"/>
      <c r="R68" s="64"/>
      <c r="S68" s="65"/>
    </row>
    <row r="69" spans="1:32" s="66" customFormat="1" ht="13" hidden="1" x14ac:dyDescent="0.3">
      <c r="A69" s="62"/>
      <c r="B69" s="78" t="s">
        <v>586</v>
      </c>
      <c r="C69" s="64"/>
      <c r="D69" s="64"/>
      <c r="E69" s="64"/>
      <c r="F69" s="663"/>
      <c r="G69" s="64"/>
      <c r="H69" s="663"/>
      <c r="I69" s="64"/>
      <c r="J69" s="663"/>
      <c r="K69" s="64"/>
      <c r="L69" s="663"/>
      <c r="M69" s="64"/>
      <c r="N69" s="663"/>
      <c r="O69" s="64"/>
      <c r="P69" s="663"/>
      <c r="Q69" s="64"/>
      <c r="R69" s="64"/>
      <c r="S69" s="65"/>
    </row>
    <row r="70" spans="1:32" s="66" customFormat="1" hidden="1" x14ac:dyDescent="0.25">
      <c r="A70" s="62"/>
      <c r="B70" s="83">
        <v>0.5</v>
      </c>
      <c r="C70" s="64" t="s">
        <v>587</v>
      </c>
      <c r="D70" s="64"/>
      <c r="E70" s="64"/>
      <c r="F70" s="663"/>
      <c r="G70" s="64"/>
      <c r="H70" s="663"/>
      <c r="I70" s="64"/>
      <c r="J70" s="663"/>
      <c r="K70" s="64"/>
      <c r="L70" s="663"/>
      <c r="M70" s="64"/>
      <c r="N70" s="663"/>
      <c r="O70" s="64"/>
      <c r="P70" s="663"/>
      <c r="Q70" s="64"/>
      <c r="R70" s="64"/>
      <c r="S70" s="65"/>
    </row>
    <row r="71" spans="1:32" s="66" customFormat="1" hidden="1" x14ac:dyDescent="0.25">
      <c r="A71" s="62"/>
      <c r="B71" s="74"/>
      <c r="C71" s="64"/>
      <c r="D71" s="64"/>
      <c r="E71" s="64"/>
      <c r="F71" s="663"/>
      <c r="G71" s="64"/>
      <c r="H71" s="663"/>
      <c r="I71" s="64"/>
      <c r="J71" s="663"/>
      <c r="K71" s="64"/>
      <c r="L71" s="663"/>
      <c r="M71" s="64"/>
      <c r="N71" s="663"/>
      <c r="O71" s="64"/>
      <c r="P71" s="663"/>
      <c r="Q71" s="64"/>
      <c r="R71" s="64"/>
      <c r="S71" s="65"/>
    </row>
    <row r="72" spans="1:32" s="66" customFormat="1" hidden="1" x14ac:dyDescent="0.25">
      <c r="A72" s="62"/>
      <c r="B72" s="74"/>
      <c r="C72" s="64"/>
      <c r="D72" s="663"/>
      <c r="E72" s="64"/>
      <c r="F72" s="663"/>
      <c r="G72" s="64"/>
      <c r="H72" s="663"/>
      <c r="I72" s="64"/>
      <c r="J72" s="663"/>
      <c r="K72" s="64"/>
      <c r="L72" s="663"/>
      <c r="M72" s="64"/>
      <c r="N72" s="663"/>
      <c r="O72" s="64"/>
      <c r="P72" s="663"/>
      <c r="Q72" s="64"/>
      <c r="R72" s="64"/>
      <c r="S72" s="65"/>
    </row>
    <row r="73" spans="1:32" s="66" customFormat="1" ht="39.75" hidden="1" customHeight="1" thickBot="1" x14ac:dyDescent="0.3">
      <c r="A73" s="84"/>
      <c r="B73" s="86"/>
      <c r="D73" s="86"/>
      <c r="F73" s="86"/>
      <c r="H73" s="86"/>
      <c r="J73" s="86"/>
      <c r="L73" s="86"/>
      <c r="N73" s="86"/>
      <c r="P73" s="86"/>
      <c r="S73" s="87"/>
    </row>
    <row r="74" spans="1:32" s="66" customFormat="1" ht="13.5" hidden="1" thickBot="1" x14ac:dyDescent="0.35">
      <c r="A74" s="62"/>
      <c r="B74" s="70" t="s">
        <v>588</v>
      </c>
      <c r="C74" s="64"/>
      <c r="D74" s="663"/>
      <c r="E74" s="64"/>
      <c r="F74" s="64"/>
      <c r="G74" s="64"/>
      <c r="H74" s="663"/>
      <c r="I74" s="64"/>
      <c r="J74" s="663"/>
      <c r="K74" s="64"/>
      <c r="L74" s="663"/>
      <c r="M74" s="64"/>
      <c r="N74" s="663"/>
      <c r="O74" s="64"/>
      <c r="P74" s="663"/>
      <c r="Q74" s="64"/>
      <c r="R74" s="64"/>
      <c r="S74" s="65"/>
    </row>
    <row r="75" spans="1:32" s="66" customFormat="1" ht="13.5" hidden="1" thickBot="1" x14ac:dyDescent="0.3">
      <c r="A75" s="62"/>
      <c r="B75" s="76" t="b">
        <v>0</v>
      </c>
      <c r="C75" s="64"/>
      <c r="D75" s="663"/>
      <c r="E75" s="64"/>
      <c r="F75" s="64"/>
      <c r="G75" s="64"/>
      <c r="H75" s="663"/>
      <c r="I75" s="64"/>
      <c r="J75" s="663"/>
      <c r="K75" s="64"/>
      <c r="L75" s="663"/>
      <c r="M75" s="64"/>
      <c r="N75" s="663"/>
      <c r="O75" s="64"/>
      <c r="P75" s="663"/>
      <c r="Q75" s="64"/>
      <c r="R75" s="64"/>
      <c r="S75" s="65"/>
      <c r="U75" s="90"/>
      <c r="V75" s="90"/>
      <c r="W75" s="90"/>
      <c r="X75" s="90"/>
      <c r="Y75" s="91"/>
      <c r="Z75" s="91"/>
      <c r="AA75" s="91"/>
      <c r="AB75" s="91"/>
      <c r="AC75" s="91"/>
    </row>
    <row r="76" spans="1:32" s="66" customFormat="1" ht="13.5" hidden="1" thickBot="1" x14ac:dyDescent="0.35">
      <c r="A76" s="62"/>
      <c r="B76" s="70" t="s">
        <v>589</v>
      </c>
      <c r="C76" s="64"/>
      <c r="D76" s="663"/>
      <c r="E76" s="64"/>
      <c r="F76" s="64"/>
      <c r="G76" s="64"/>
      <c r="H76" s="663"/>
      <c r="I76" s="64"/>
      <c r="J76" s="663"/>
      <c r="K76" s="64"/>
      <c r="L76" s="663"/>
      <c r="M76" s="64"/>
      <c r="N76" s="663"/>
      <c r="O76" s="64"/>
      <c r="P76" s="663"/>
      <c r="Q76" s="64"/>
      <c r="R76" s="64"/>
      <c r="S76" s="65"/>
      <c r="U76" s="90"/>
    </row>
    <row r="77" spans="1:32" s="66" customFormat="1" ht="13.5" hidden="1" thickBot="1" x14ac:dyDescent="0.3">
      <c r="A77" s="62"/>
      <c r="B77" s="76" t="b">
        <v>0</v>
      </c>
      <c r="C77" s="64"/>
      <c r="D77" s="663"/>
      <c r="E77" s="64"/>
      <c r="F77" s="64"/>
      <c r="G77" s="64"/>
      <c r="H77" s="663"/>
      <c r="I77" s="64"/>
      <c r="J77" s="663"/>
      <c r="K77" s="64"/>
      <c r="L77" s="663"/>
      <c r="M77" s="64"/>
      <c r="N77" s="663"/>
      <c r="O77" s="64"/>
      <c r="P77" s="663"/>
      <c r="Q77" s="64"/>
      <c r="R77" s="64"/>
      <c r="S77" s="65"/>
      <c r="AA77" s="90"/>
      <c r="AB77" s="90"/>
      <c r="AC77" s="91"/>
      <c r="AD77" s="91"/>
      <c r="AE77" s="91"/>
      <c r="AF77" s="92"/>
    </row>
    <row r="78" spans="1:32" s="66" customFormat="1" ht="13.5" hidden="1" thickBot="1" x14ac:dyDescent="0.35">
      <c r="A78" s="62"/>
      <c r="B78" s="78" t="s">
        <v>590</v>
      </c>
      <c r="C78" s="64"/>
      <c r="D78" s="663"/>
      <c r="E78" s="64"/>
      <c r="F78" s="64"/>
      <c r="G78" s="64"/>
      <c r="H78" s="663"/>
      <c r="I78" s="64"/>
      <c r="J78" s="663"/>
      <c r="K78" s="64"/>
      <c r="L78" s="663"/>
      <c r="M78" s="64"/>
      <c r="N78" s="663"/>
      <c r="O78" s="64"/>
      <c r="P78" s="663"/>
      <c r="Q78" s="64"/>
      <c r="R78" s="64"/>
      <c r="S78" s="65"/>
      <c r="AA78" s="42"/>
      <c r="AB78" s="42"/>
      <c r="AC78" s="42"/>
    </row>
    <row r="79" spans="1:32" s="66" customFormat="1" ht="13" hidden="1" thickBot="1" x14ac:dyDescent="0.3">
      <c r="A79" s="62"/>
      <c r="B79" s="81" t="b">
        <v>0</v>
      </c>
      <c r="C79" s="64"/>
      <c r="D79" s="663"/>
      <c r="E79" s="64"/>
      <c r="F79" s="64"/>
      <c r="G79" s="64"/>
      <c r="H79" s="663"/>
      <c r="I79" s="64"/>
      <c r="J79" s="663"/>
      <c r="K79" s="64"/>
      <c r="L79" s="663"/>
      <c r="M79" s="64"/>
      <c r="N79" s="663"/>
      <c r="O79" s="64"/>
      <c r="P79" s="663"/>
      <c r="Q79" s="64"/>
      <c r="R79" s="64"/>
      <c r="S79" s="65"/>
    </row>
    <row r="80" spans="1:32" ht="31.5" customHeight="1" thickBot="1" x14ac:dyDescent="0.3">
      <c r="A80" s="59"/>
      <c r="B80" s="93" t="s">
        <v>801</v>
      </c>
      <c r="C80" s="709" t="b">
        <v>1</v>
      </c>
      <c r="D80" s="710"/>
      <c r="E80" s="710"/>
      <c r="F80" s="710"/>
      <c r="G80" s="710"/>
      <c r="H80" s="710"/>
      <c r="I80" s="710"/>
      <c r="J80" s="710"/>
      <c r="K80" s="710"/>
      <c r="L80" s="710"/>
      <c r="M80" s="710"/>
      <c r="N80" s="710"/>
      <c r="O80" s="710"/>
      <c r="P80" s="710"/>
      <c r="Q80" s="710"/>
      <c r="R80" s="711"/>
      <c r="S80" s="94"/>
      <c r="U80" s="712" t="s">
        <v>276</v>
      </c>
      <c r="V80" s="713"/>
      <c r="W80" s="714"/>
      <c r="X80" s="712" t="s">
        <v>277</v>
      </c>
      <c r="Y80" s="713"/>
      <c r="Z80" s="714"/>
    </row>
    <row r="81" spans="1:32" ht="39.75" customHeight="1" thickBot="1" x14ac:dyDescent="0.3">
      <c r="A81" s="59"/>
      <c r="B81" s="95"/>
      <c r="C81" s="715"/>
      <c r="D81" s="716"/>
      <c r="E81" s="716"/>
      <c r="F81" s="717"/>
      <c r="G81" s="718"/>
      <c r="H81" s="719"/>
      <c r="I81" s="719"/>
      <c r="J81" s="720"/>
      <c r="K81" s="718"/>
      <c r="L81" s="719"/>
      <c r="M81" s="719"/>
      <c r="N81" s="720"/>
      <c r="O81" s="718"/>
      <c r="P81" s="719"/>
      <c r="Q81" s="719"/>
      <c r="R81" s="720"/>
      <c r="S81" s="94"/>
      <c r="U81" s="721" t="s">
        <v>115</v>
      </c>
      <c r="V81" s="723" t="s">
        <v>591</v>
      </c>
      <c r="W81" s="724"/>
      <c r="X81" s="721" t="s">
        <v>115</v>
      </c>
      <c r="Y81" s="723" t="s">
        <v>591</v>
      </c>
      <c r="Z81" s="724"/>
    </row>
    <row r="82" spans="1:32" ht="16.5" customHeight="1" thickBot="1" x14ac:dyDescent="0.35">
      <c r="A82" s="59"/>
      <c r="B82" s="96"/>
      <c r="C82" s="729" t="s">
        <v>977</v>
      </c>
      <c r="D82" s="730"/>
      <c r="E82" s="730" t="s">
        <v>964</v>
      </c>
      <c r="F82" s="731"/>
      <c r="G82" s="729" t="s">
        <v>966</v>
      </c>
      <c r="H82" s="730"/>
      <c r="I82" s="730" t="s">
        <v>967</v>
      </c>
      <c r="J82" s="731"/>
      <c r="K82" s="729" t="s">
        <v>979</v>
      </c>
      <c r="L82" s="730"/>
      <c r="M82" s="730" t="s">
        <v>969</v>
      </c>
      <c r="N82" s="731"/>
      <c r="O82" s="729" t="s">
        <v>980</v>
      </c>
      <c r="P82" s="730"/>
      <c r="Q82" s="730" t="s">
        <v>971</v>
      </c>
      <c r="R82" s="731"/>
      <c r="S82" s="61"/>
      <c r="U82" s="722"/>
      <c r="V82" s="97" t="s">
        <v>592</v>
      </c>
      <c r="W82" s="97" t="s">
        <v>593</v>
      </c>
      <c r="X82" s="722"/>
      <c r="Y82" s="97" t="s">
        <v>592</v>
      </c>
      <c r="Z82" s="97" t="s">
        <v>593</v>
      </c>
      <c r="AA82" s="98" t="s">
        <v>278</v>
      </c>
      <c r="AB82" s="98" t="s">
        <v>279</v>
      </c>
      <c r="AC82" s="99" t="s">
        <v>594</v>
      </c>
      <c r="AD82" s="99" t="s">
        <v>595</v>
      </c>
      <c r="AE82" s="100" t="s">
        <v>596</v>
      </c>
      <c r="AF82" s="101" t="s">
        <v>597</v>
      </c>
    </row>
    <row r="83" spans="1:32" ht="13" collapsed="1" x14ac:dyDescent="0.25">
      <c r="A83" s="59"/>
      <c r="B83" s="102" t="s">
        <v>255</v>
      </c>
      <c r="C83" s="103"/>
      <c r="D83" s="103"/>
      <c r="E83" s="103"/>
      <c r="F83" s="103"/>
      <c r="G83" s="103"/>
      <c r="H83" s="103"/>
      <c r="I83" s="103"/>
      <c r="J83" s="103"/>
      <c r="K83" s="103"/>
      <c r="L83" s="103"/>
      <c r="M83" s="103"/>
      <c r="N83" s="103"/>
      <c r="O83" s="103"/>
      <c r="P83" s="103"/>
      <c r="Q83" s="103"/>
      <c r="R83" s="104"/>
      <c r="S83" s="94"/>
      <c r="U83" s="105"/>
      <c r="V83" s="106" t="s">
        <v>598</v>
      </c>
      <c r="W83" s="107"/>
      <c r="X83" s="105"/>
      <c r="Y83" s="106" t="s">
        <v>599</v>
      </c>
      <c r="Z83" s="107"/>
      <c r="AA83" s="108"/>
      <c r="AB83" s="109"/>
      <c r="AC83" s="109"/>
      <c r="AD83" s="109"/>
      <c r="AE83" s="109"/>
      <c r="AF83" s="110" t="s">
        <v>255</v>
      </c>
    </row>
    <row r="84" spans="1:32" hidden="1" outlineLevel="1" x14ac:dyDescent="0.25">
      <c r="A84" s="59"/>
      <c r="B84" s="111" t="s">
        <v>324</v>
      </c>
      <c r="C84" s="112">
        <v>0</v>
      </c>
      <c r="D84" s="113" t="s">
        <v>147</v>
      </c>
      <c r="E84" s="114">
        <v>0</v>
      </c>
      <c r="F84" s="115" t="s">
        <v>147</v>
      </c>
      <c r="G84" s="112">
        <v>0</v>
      </c>
      <c r="H84" s="113" t="s">
        <v>147</v>
      </c>
      <c r="I84" s="114">
        <v>0</v>
      </c>
      <c r="J84" s="115" t="s">
        <v>147</v>
      </c>
      <c r="K84" s="112">
        <v>0</v>
      </c>
      <c r="L84" s="113" t="s">
        <v>147</v>
      </c>
      <c r="M84" s="114">
        <v>0</v>
      </c>
      <c r="N84" s="115" t="s">
        <v>147</v>
      </c>
      <c r="O84" s="112">
        <v>0</v>
      </c>
      <c r="P84" s="113" t="s">
        <v>147</v>
      </c>
      <c r="Q84" s="114">
        <v>0</v>
      </c>
      <c r="R84" s="115" t="s">
        <v>147</v>
      </c>
      <c r="S84" s="61"/>
      <c r="U84" s="116">
        <f>V84+W84</f>
        <v>1</v>
      </c>
      <c r="V84" s="117">
        <v>1</v>
      </c>
      <c r="W84" s="118">
        <v>0</v>
      </c>
      <c r="X84" s="116">
        <f>Y84+Z84</f>
        <v>1</v>
      </c>
      <c r="Y84" s="117">
        <v>1</v>
      </c>
      <c r="Z84" s="118">
        <v>0</v>
      </c>
      <c r="AA84" s="119">
        <v>1</v>
      </c>
      <c r="AB84" s="117">
        <v>1</v>
      </c>
      <c r="AC84" s="117">
        <v>1</v>
      </c>
      <c r="AD84" s="117">
        <v>0</v>
      </c>
      <c r="AE84" s="117">
        <v>0</v>
      </c>
      <c r="AF84" s="120" t="str">
        <f t="shared" ref="AF84:AF146" si="0">B84</f>
        <v>OP720 - Smoke detector</v>
      </c>
    </row>
    <row r="85" spans="1:32" hidden="1" outlineLevel="1" x14ac:dyDescent="0.25">
      <c r="A85" s="59"/>
      <c r="B85" s="121" t="s">
        <v>325</v>
      </c>
      <c r="C85" s="122">
        <v>0</v>
      </c>
      <c r="D85" s="113" t="s">
        <v>147</v>
      </c>
      <c r="E85" s="123">
        <v>0</v>
      </c>
      <c r="F85" s="115" t="s">
        <v>147</v>
      </c>
      <c r="G85" s="122">
        <v>0</v>
      </c>
      <c r="H85" s="113" t="s">
        <v>147</v>
      </c>
      <c r="I85" s="123">
        <v>0</v>
      </c>
      <c r="J85" s="115" t="s">
        <v>147</v>
      </c>
      <c r="K85" s="122">
        <v>0</v>
      </c>
      <c r="L85" s="113" t="s">
        <v>147</v>
      </c>
      <c r="M85" s="123">
        <v>0</v>
      </c>
      <c r="N85" s="115" t="s">
        <v>147</v>
      </c>
      <c r="O85" s="122">
        <v>0</v>
      </c>
      <c r="P85" s="113" t="s">
        <v>147</v>
      </c>
      <c r="Q85" s="123">
        <v>0</v>
      </c>
      <c r="R85" s="115" t="s">
        <v>147</v>
      </c>
      <c r="S85" s="61"/>
      <c r="U85" s="116">
        <f t="shared" ref="U85:U137" si="1">V85+W85</f>
        <v>1</v>
      </c>
      <c r="V85" s="117">
        <v>1</v>
      </c>
      <c r="W85" s="118">
        <v>0</v>
      </c>
      <c r="X85" s="116">
        <f t="shared" ref="X85:X137" si="2">Y85+Z85</f>
        <v>1</v>
      </c>
      <c r="Y85" s="117">
        <v>1</v>
      </c>
      <c r="Z85" s="118">
        <v>0</v>
      </c>
      <c r="AA85" s="124">
        <v>1</v>
      </c>
      <c r="AB85" s="125">
        <v>1</v>
      </c>
      <c r="AC85" s="125">
        <v>1</v>
      </c>
      <c r="AD85" s="117">
        <v>0</v>
      </c>
      <c r="AE85" s="117">
        <v>0</v>
      </c>
      <c r="AF85" s="126" t="str">
        <f t="shared" si="0"/>
        <v>HI722 - Heat detector</v>
      </c>
    </row>
    <row r="86" spans="1:32" hidden="1" outlineLevel="1" x14ac:dyDescent="0.25">
      <c r="A86" s="59"/>
      <c r="B86" s="121" t="s">
        <v>326</v>
      </c>
      <c r="C86" s="122">
        <v>0</v>
      </c>
      <c r="D86" s="113" t="s">
        <v>147</v>
      </c>
      <c r="E86" s="123">
        <v>0</v>
      </c>
      <c r="F86" s="115" t="s">
        <v>147</v>
      </c>
      <c r="G86" s="122">
        <v>0</v>
      </c>
      <c r="H86" s="113" t="s">
        <v>147</v>
      </c>
      <c r="I86" s="123">
        <v>0</v>
      </c>
      <c r="J86" s="115" t="s">
        <v>147</v>
      </c>
      <c r="K86" s="122">
        <v>0</v>
      </c>
      <c r="L86" s="113" t="s">
        <v>147</v>
      </c>
      <c r="M86" s="123">
        <v>0</v>
      </c>
      <c r="N86" s="115" t="s">
        <v>147</v>
      </c>
      <c r="O86" s="122">
        <v>0</v>
      </c>
      <c r="P86" s="113" t="s">
        <v>147</v>
      </c>
      <c r="Q86" s="123">
        <v>0</v>
      </c>
      <c r="R86" s="115" t="s">
        <v>147</v>
      </c>
      <c r="S86" s="61"/>
      <c r="U86" s="116">
        <f t="shared" si="1"/>
        <v>1</v>
      </c>
      <c r="V86" s="117">
        <v>1</v>
      </c>
      <c r="W86" s="118">
        <v>0</v>
      </c>
      <c r="X86" s="116">
        <f t="shared" si="2"/>
        <v>1</v>
      </c>
      <c r="Y86" s="117">
        <v>1</v>
      </c>
      <c r="Z86" s="118">
        <v>0</v>
      </c>
      <c r="AA86" s="124">
        <v>1</v>
      </c>
      <c r="AB86" s="125">
        <v>1</v>
      </c>
      <c r="AC86" s="125">
        <v>1</v>
      </c>
      <c r="AD86" s="117">
        <v>0</v>
      </c>
      <c r="AE86" s="117">
        <v>0</v>
      </c>
      <c r="AF86" s="126" t="str">
        <f t="shared" si="0"/>
        <v>HI720 - Heat detector</v>
      </c>
    </row>
    <row r="87" spans="1:32" hidden="1" outlineLevel="1" x14ac:dyDescent="0.25">
      <c r="A87" s="59"/>
      <c r="B87" s="121" t="s">
        <v>327</v>
      </c>
      <c r="C87" s="122">
        <v>0</v>
      </c>
      <c r="D87" s="113" t="s">
        <v>147</v>
      </c>
      <c r="E87" s="123">
        <v>0</v>
      </c>
      <c r="F87" s="115" t="s">
        <v>147</v>
      </c>
      <c r="G87" s="122">
        <v>0</v>
      </c>
      <c r="H87" s="113" t="s">
        <v>147</v>
      </c>
      <c r="I87" s="123">
        <v>0</v>
      </c>
      <c r="J87" s="115" t="s">
        <v>147</v>
      </c>
      <c r="K87" s="122">
        <v>0</v>
      </c>
      <c r="L87" s="113" t="s">
        <v>147</v>
      </c>
      <c r="M87" s="123">
        <v>0</v>
      </c>
      <c r="N87" s="115" t="s">
        <v>147</v>
      </c>
      <c r="O87" s="122">
        <v>0</v>
      </c>
      <c r="P87" s="113" t="s">
        <v>147</v>
      </c>
      <c r="Q87" s="123">
        <v>0</v>
      </c>
      <c r="R87" s="115" t="s">
        <v>147</v>
      </c>
      <c r="S87" s="61"/>
      <c r="U87" s="116">
        <f t="shared" si="1"/>
        <v>1</v>
      </c>
      <c r="V87" s="117">
        <v>1</v>
      </c>
      <c r="W87" s="118">
        <v>0</v>
      </c>
      <c r="X87" s="116">
        <f t="shared" si="2"/>
        <v>1</v>
      </c>
      <c r="Y87" s="117">
        <v>1</v>
      </c>
      <c r="Z87" s="118">
        <v>0</v>
      </c>
      <c r="AA87" s="124">
        <v>1</v>
      </c>
      <c r="AB87" s="125">
        <v>1</v>
      </c>
      <c r="AC87" s="125">
        <v>1</v>
      </c>
      <c r="AD87" s="117">
        <v>0</v>
      </c>
      <c r="AE87" s="117">
        <v>0</v>
      </c>
      <c r="AF87" s="126" t="str">
        <f t="shared" si="0"/>
        <v>OH720 - Multi Sensor detector</v>
      </c>
    </row>
    <row r="88" spans="1:32" hidden="1" outlineLevel="1" x14ac:dyDescent="0.25">
      <c r="A88" s="59"/>
      <c r="B88" s="121" t="s">
        <v>600</v>
      </c>
      <c r="C88" s="122">
        <v>0</v>
      </c>
      <c r="D88" s="113" t="s">
        <v>780</v>
      </c>
      <c r="E88" s="123">
        <v>0</v>
      </c>
      <c r="F88" s="115" t="s">
        <v>780</v>
      </c>
      <c r="G88" s="122">
        <v>0</v>
      </c>
      <c r="H88" s="113" t="s">
        <v>147</v>
      </c>
      <c r="I88" s="123">
        <v>0</v>
      </c>
      <c r="J88" s="115" t="s">
        <v>147</v>
      </c>
      <c r="K88" s="122">
        <v>0</v>
      </c>
      <c r="L88" s="113" t="s">
        <v>147</v>
      </c>
      <c r="M88" s="123">
        <v>0</v>
      </c>
      <c r="N88" s="115" t="s">
        <v>147</v>
      </c>
      <c r="O88" s="122">
        <v>0</v>
      </c>
      <c r="P88" s="113" t="s">
        <v>147</v>
      </c>
      <c r="Q88" s="123">
        <v>0</v>
      </c>
      <c r="R88" s="115" t="s">
        <v>147</v>
      </c>
      <c r="S88" s="61"/>
      <c r="U88" s="116">
        <f t="shared" si="1"/>
        <v>1</v>
      </c>
      <c r="V88" s="117">
        <v>1</v>
      </c>
      <c r="W88" s="118">
        <v>0</v>
      </c>
      <c r="X88" s="116">
        <f t="shared" si="2"/>
        <v>1</v>
      </c>
      <c r="Y88" s="117">
        <v>1</v>
      </c>
      <c r="Z88" s="118">
        <v>0</v>
      </c>
      <c r="AA88" s="124">
        <v>1</v>
      </c>
      <c r="AB88" s="125">
        <v>1</v>
      </c>
      <c r="AC88" s="125">
        <v>1</v>
      </c>
      <c r="AD88" s="117">
        <v>0</v>
      </c>
      <c r="AE88" s="117">
        <v>0</v>
      </c>
      <c r="AF88" s="126" t="str">
        <f t="shared" si="0"/>
        <v>OOH740 - Multi Sensor detector</v>
      </c>
    </row>
    <row r="89" spans="1:32" hidden="1" outlineLevel="1" x14ac:dyDescent="0.25">
      <c r="A89" s="59"/>
      <c r="B89" s="121" t="s">
        <v>779</v>
      </c>
      <c r="C89" s="127">
        <v>0</v>
      </c>
      <c r="D89" s="113" t="s">
        <v>780</v>
      </c>
      <c r="E89" s="123">
        <v>0</v>
      </c>
      <c r="F89" s="115" t="s">
        <v>780</v>
      </c>
      <c r="G89" s="127">
        <v>0</v>
      </c>
      <c r="H89" s="113" t="s">
        <v>147</v>
      </c>
      <c r="I89" s="123">
        <v>0</v>
      </c>
      <c r="J89" s="115" t="s">
        <v>780</v>
      </c>
      <c r="K89" s="127">
        <v>0</v>
      </c>
      <c r="L89" s="113" t="s">
        <v>780</v>
      </c>
      <c r="M89" s="123">
        <v>0</v>
      </c>
      <c r="N89" s="115" t="s">
        <v>780</v>
      </c>
      <c r="O89" s="127">
        <v>0</v>
      </c>
      <c r="P89" s="113" t="s">
        <v>780</v>
      </c>
      <c r="Q89" s="123">
        <v>0</v>
      </c>
      <c r="R89" s="115" t="s">
        <v>780</v>
      </c>
      <c r="S89" s="61"/>
      <c r="U89" s="116">
        <f t="shared" si="1"/>
        <v>1</v>
      </c>
      <c r="V89" s="117">
        <v>1</v>
      </c>
      <c r="W89" s="118">
        <v>0</v>
      </c>
      <c r="X89" s="116">
        <f t="shared" si="2"/>
        <v>1</v>
      </c>
      <c r="Y89" s="117">
        <v>1</v>
      </c>
      <c r="Z89" s="118">
        <v>0</v>
      </c>
      <c r="AA89" s="124">
        <v>1</v>
      </c>
      <c r="AB89" s="125">
        <v>1</v>
      </c>
      <c r="AC89" s="125">
        <v>1</v>
      </c>
      <c r="AD89" s="117">
        <v>0</v>
      </c>
      <c r="AE89" s="117">
        <v>0</v>
      </c>
      <c r="AF89" s="126" t="str">
        <f t="shared" si="0"/>
        <v>OP360 - Smoke detector</v>
      </c>
    </row>
    <row r="90" spans="1:32" hidden="1" outlineLevel="1" x14ac:dyDescent="0.25">
      <c r="A90" s="59"/>
      <c r="B90" s="121" t="s">
        <v>782</v>
      </c>
      <c r="C90" s="127">
        <v>0</v>
      </c>
      <c r="D90" s="128" t="s">
        <v>780</v>
      </c>
      <c r="E90" s="127">
        <v>0</v>
      </c>
      <c r="F90" s="129" t="s">
        <v>147</v>
      </c>
      <c r="G90" s="127">
        <v>0</v>
      </c>
      <c r="H90" s="129" t="s">
        <v>147</v>
      </c>
      <c r="I90" s="127">
        <v>0</v>
      </c>
      <c r="J90" s="129" t="s">
        <v>147</v>
      </c>
      <c r="K90" s="127">
        <v>0</v>
      </c>
      <c r="L90" s="129" t="s">
        <v>147</v>
      </c>
      <c r="M90" s="127">
        <v>0</v>
      </c>
      <c r="N90" s="129" t="s">
        <v>147</v>
      </c>
      <c r="O90" s="127">
        <v>0</v>
      </c>
      <c r="P90" s="129" t="s">
        <v>147</v>
      </c>
      <c r="Q90" s="127">
        <v>0</v>
      </c>
      <c r="R90" s="129" t="s">
        <v>147</v>
      </c>
      <c r="S90" s="61"/>
      <c r="U90" s="116">
        <f t="shared" si="1"/>
        <v>1</v>
      </c>
      <c r="V90" s="117">
        <v>1</v>
      </c>
      <c r="W90" s="118">
        <v>0</v>
      </c>
      <c r="X90" s="116">
        <f t="shared" si="2"/>
        <v>1</v>
      </c>
      <c r="Y90" s="117">
        <v>1</v>
      </c>
      <c r="Z90" s="118">
        <v>0</v>
      </c>
      <c r="AA90" s="124">
        <v>1</v>
      </c>
      <c r="AB90" s="125">
        <v>1</v>
      </c>
      <c r="AC90" s="125">
        <v>1</v>
      </c>
      <c r="AD90" s="117">
        <v>0</v>
      </c>
      <c r="AE90" s="117">
        <v>0</v>
      </c>
      <c r="AF90" s="126" t="str">
        <f t="shared" si="0"/>
        <v>OH360 - Multi-sensor smoke detector</v>
      </c>
    </row>
    <row r="91" spans="1:32" hidden="1" outlineLevel="1" x14ac:dyDescent="0.25">
      <c r="A91" s="59"/>
      <c r="B91" s="121" t="s">
        <v>783</v>
      </c>
      <c r="C91" s="127">
        <v>0</v>
      </c>
      <c r="D91" s="128" t="s">
        <v>780</v>
      </c>
      <c r="E91" s="127">
        <v>0</v>
      </c>
      <c r="F91" s="129" t="s">
        <v>780</v>
      </c>
      <c r="G91" s="127">
        <v>0</v>
      </c>
      <c r="H91" s="129" t="s">
        <v>780</v>
      </c>
      <c r="I91" s="127">
        <v>0</v>
      </c>
      <c r="J91" s="129" t="s">
        <v>780</v>
      </c>
      <c r="K91" s="127">
        <v>0</v>
      </c>
      <c r="L91" s="129" t="s">
        <v>780</v>
      </c>
      <c r="M91" s="127">
        <v>0</v>
      </c>
      <c r="N91" s="129" t="s">
        <v>780</v>
      </c>
      <c r="O91" s="127">
        <v>0</v>
      </c>
      <c r="P91" s="129" t="s">
        <v>780</v>
      </c>
      <c r="Q91" s="127">
        <v>0</v>
      </c>
      <c r="R91" s="129" t="s">
        <v>780</v>
      </c>
      <c r="S91" s="61"/>
      <c r="U91" s="116">
        <f t="shared" si="1"/>
        <v>1</v>
      </c>
      <c r="V91" s="117">
        <v>1</v>
      </c>
      <c r="W91" s="118">
        <v>0</v>
      </c>
      <c r="X91" s="116">
        <f t="shared" si="2"/>
        <v>1</v>
      </c>
      <c r="Y91" s="117">
        <v>1</v>
      </c>
      <c r="Z91" s="118">
        <v>0</v>
      </c>
      <c r="AA91" s="124">
        <v>1</v>
      </c>
      <c r="AB91" s="125">
        <v>1</v>
      </c>
      <c r="AC91" s="125">
        <v>1</v>
      </c>
      <c r="AD91" s="117">
        <v>0</v>
      </c>
      <c r="AE91" s="117">
        <v>0</v>
      </c>
      <c r="AF91" s="126" t="str">
        <f t="shared" si="0"/>
        <v>HI360 - Heat detector (RoR)</v>
      </c>
    </row>
    <row r="92" spans="1:32" hidden="1" x14ac:dyDescent="0.25">
      <c r="A92" s="59"/>
      <c r="B92" s="121"/>
      <c r="C92" s="127"/>
      <c r="D92" s="128"/>
      <c r="E92" s="127"/>
      <c r="F92" s="129"/>
      <c r="G92" s="127"/>
      <c r="H92" s="129"/>
      <c r="I92" s="127"/>
      <c r="J92" s="129"/>
      <c r="K92" s="127"/>
      <c r="L92" s="129"/>
      <c r="M92" s="127"/>
      <c r="N92" s="129"/>
      <c r="O92" s="127"/>
      <c r="P92" s="129"/>
      <c r="Q92" s="127"/>
      <c r="R92" s="129"/>
      <c r="S92" s="61"/>
      <c r="U92" s="116">
        <f t="shared" si="1"/>
        <v>0</v>
      </c>
      <c r="V92" s="117"/>
      <c r="W92" s="118"/>
      <c r="X92" s="116">
        <f t="shared" si="2"/>
        <v>0</v>
      </c>
      <c r="Y92" s="117"/>
      <c r="Z92" s="118"/>
      <c r="AA92" s="124"/>
      <c r="AB92" s="125"/>
      <c r="AC92" s="125"/>
      <c r="AD92" s="117"/>
      <c r="AE92" s="117"/>
      <c r="AF92" s="126">
        <f t="shared" si="0"/>
        <v>0</v>
      </c>
    </row>
    <row r="93" spans="1:32" hidden="1" x14ac:dyDescent="0.25">
      <c r="A93" s="59"/>
      <c r="B93" s="121"/>
      <c r="C93" s="127"/>
      <c r="D93" s="128"/>
      <c r="E93" s="127"/>
      <c r="F93" s="129"/>
      <c r="G93" s="127"/>
      <c r="H93" s="129"/>
      <c r="I93" s="127"/>
      <c r="J93" s="129"/>
      <c r="K93" s="127"/>
      <c r="L93" s="129"/>
      <c r="M93" s="127"/>
      <c r="N93" s="129"/>
      <c r="O93" s="127"/>
      <c r="P93" s="129"/>
      <c r="Q93" s="127"/>
      <c r="R93" s="129"/>
      <c r="S93" s="61"/>
      <c r="U93" s="116">
        <f t="shared" si="1"/>
        <v>0</v>
      </c>
      <c r="V93" s="117"/>
      <c r="W93" s="118"/>
      <c r="X93" s="116">
        <f t="shared" si="2"/>
        <v>0</v>
      </c>
      <c r="Y93" s="117"/>
      <c r="Z93" s="118"/>
      <c r="AA93" s="124"/>
      <c r="AB93" s="125"/>
      <c r="AC93" s="125"/>
      <c r="AD93" s="117"/>
      <c r="AE93" s="117"/>
      <c r="AF93" s="126">
        <f t="shared" si="0"/>
        <v>0</v>
      </c>
    </row>
    <row r="94" spans="1:32" hidden="1" x14ac:dyDescent="0.25">
      <c r="A94" s="59"/>
      <c r="B94" s="121"/>
      <c r="C94" s="127"/>
      <c r="D94" s="128"/>
      <c r="E94" s="127"/>
      <c r="F94" s="129"/>
      <c r="G94" s="127"/>
      <c r="H94" s="129"/>
      <c r="I94" s="127"/>
      <c r="J94" s="129"/>
      <c r="K94" s="127"/>
      <c r="L94" s="129"/>
      <c r="M94" s="127"/>
      <c r="N94" s="129"/>
      <c r="O94" s="127"/>
      <c r="P94" s="129"/>
      <c r="Q94" s="127"/>
      <c r="R94" s="129"/>
      <c r="S94" s="61"/>
      <c r="U94" s="116">
        <f t="shared" si="1"/>
        <v>0</v>
      </c>
      <c r="V94" s="117"/>
      <c r="W94" s="118"/>
      <c r="X94" s="116">
        <f t="shared" si="2"/>
        <v>0</v>
      </c>
      <c r="Y94" s="117"/>
      <c r="Z94" s="118"/>
      <c r="AA94" s="124"/>
      <c r="AB94" s="125"/>
      <c r="AC94" s="125"/>
      <c r="AD94" s="117"/>
      <c r="AE94" s="117"/>
      <c r="AF94" s="126">
        <f t="shared" si="0"/>
        <v>0</v>
      </c>
    </row>
    <row r="95" spans="1:32" hidden="1" x14ac:dyDescent="0.25">
      <c r="A95" s="59"/>
      <c r="B95" s="121"/>
      <c r="C95" s="127"/>
      <c r="D95" s="128"/>
      <c r="E95" s="127"/>
      <c r="F95" s="129"/>
      <c r="G95" s="127"/>
      <c r="H95" s="129"/>
      <c r="I95" s="127"/>
      <c r="J95" s="129"/>
      <c r="K95" s="127"/>
      <c r="L95" s="129"/>
      <c r="M95" s="127"/>
      <c r="N95" s="129"/>
      <c r="O95" s="127"/>
      <c r="P95" s="129"/>
      <c r="Q95" s="127"/>
      <c r="R95" s="129"/>
      <c r="S95" s="61"/>
      <c r="U95" s="116">
        <f t="shared" si="1"/>
        <v>0</v>
      </c>
      <c r="V95" s="117"/>
      <c r="W95" s="118"/>
      <c r="X95" s="116">
        <f t="shared" si="2"/>
        <v>0</v>
      </c>
      <c r="Y95" s="117"/>
      <c r="Z95" s="118"/>
      <c r="AA95" s="124"/>
      <c r="AB95" s="125"/>
      <c r="AC95" s="125"/>
      <c r="AD95" s="117"/>
      <c r="AE95" s="117"/>
      <c r="AF95" s="126">
        <f t="shared" si="0"/>
        <v>0</v>
      </c>
    </row>
    <row r="96" spans="1:32" hidden="1" x14ac:dyDescent="0.25">
      <c r="A96" s="59"/>
      <c r="B96" s="121"/>
      <c r="C96" s="127"/>
      <c r="D96" s="128"/>
      <c r="E96" s="127"/>
      <c r="F96" s="129"/>
      <c r="G96" s="127"/>
      <c r="H96" s="129"/>
      <c r="I96" s="127"/>
      <c r="J96" s="129"/>
      <c r="K96" s="127"/>
      <c r="L96" s="129"/>
      <c r="M96" s="127"/>
      <c r="N96" s="129"/>
      <c r="O96" s="127"/>
      <c r="P96" s="129"/>
      <c r="Q96" s="127"/>
      <c r="R96" s="129"/>
      <c r="S96" s="61"/>
      <c r="U96" s="116">
        <f t="shared" si="1"/>
        <v>0</v>
      </c>
      <c r="V96" s="117"/>
      <c r="W96" s="118"/>
      <c r="X96" s="116">
        <f t="shared" si="2"/>
        <v>0</v>
      </c>
      <c r="Y96" s="117"/>
      <c r="Z96" s="118"/>
      <c r="AA96" s="124"/>
      <c r="AB96" s="125"/>
      <c r="AC96" s="125"/>
      <c r="AD96" s="117"/>
      <c r="AE96" s="117"/>
      <c r="AF96" s="126">
        <f t="shared" si="0"/>
        <v>0</v>
      </c>
    </row>
    <row r="97" spans="1:32" hidden="1" x14ac:dyDescent="0.25">
      <c r="A97" s="59"/>
      <c r="B97" s="121"/>
      <c r="C97" s="127"/>
      <c r="D97" s="128"/>
      <c r="E97" s="127"/>
      <c r="F97" s="129"/>
      <c r="G97" s="127"/>
      <c r="H97" s="129"/>
      <c r="I97" s="127"/>
      <c r="J97" s="129"/>
      <c r="K97" s="127"/>
      <c r="L97" s="129"/>
      <c r="M97" s="127"/>
      <c r="N97" s="129"/>
      <c r="O97" s="127"/>
      <c r="P97" s="129"/>
      <c r="Q97" s="127"/>
      <c r="R97" s="129"/>
      <c r="S97" s="61"/>
      <c r="U97" s="116">
        <f t="shared" si="1"/>
        <v>0</v>
      </c>
      <c r="V97" s="117"/>
      <c r="W97" s="118"/>
      <c r="X97" s="116">
        <f t="shared" si="2"/>
        <v>0</v>
      </c>
      <c r="Y97" s="117"/>
      <c r="Z97" s="118"/>
      <c r="AA97" s="124"/>
      <c r="AB97" s="125"/>
      <c r="AC97" s="125"/>
      <c r="AD97" s="117"/>
      <c r="AE97" s="117"/>
      <c r="AF97" s="126">
        <f t="shared" si="0"/>
        <v>0</v>
      </c>
    </row>
    <row r="98" spans="1:32" hidden="1" x14ac:dyDescent="0.25">
      <c r="A98" s="59"/>
      <c r="B98" s="121"/>
      <c r="C98" s="127"/>
      <c r="D98" s="128"/>
      <c r="E98" s="127"/>
      <c r="F98" s="129"/>
      <c r="G98" s="127"/>
      <c r="H98" s="129"/>
      <c r="I98" s="127"/>
      <c r="J98" s="129"/>
      <c r="K98" s="127"/>
      <c r="L98" s="129"/>
      <c r="M98" s="127"/>
      <c r="N98" s="129"/>
      <c r="O98" s="127"/>
      <c r="P98" s="129"/>
      <c r="Q98" s="127"/>
      <c r="R98" s="129"/>
      <c r="S98" s="61"/>
      <c r="U98" s="116">
        <f t="shared" si="1"/>
        <v>0</v>
      </c>
      <c r="V98" s="117"/>
      <c r="W98" s="118"/>
      <c r="X98" s="116">
        <f t="shared" si="2"/>
        <v>0</v>
      </c>
      <c r="Y98" s="117"/>
      <c r="Z98" s="118"/>
      <c r="AA98" s="124"/>
      <c r="AB98" s="125"/>
      <c r="AC98" s="125"/>
      <c r="AD98" s="117"/>
      <c r="AE98" s="117"/>
      <c r="AF98" s="126">
        <f t="shared" si="0"/>
        <v>0</v>
      </c>
    </row>
    <row r="99" spans="1:32" hidden="1" x14ac:dyDescent="0.25">
      <c r="A99" s="59"/>
      <c r="B99" s="121"/>
      <c r="C99" s="127"/>
      <c r="D99" s="128"/>
      <c r="E99" s="127"/>
      <c r="F99" s="129"/>
      <c r="G99" s="127"/>
      <c r="H99" s="129"/>
      <c r="I99" s="127"/>
      <c r="J99" s="129"/>
      <c r="K99" s="127"/>
      <c r="L99" s="129"/>
      <c r="M99" s="127"/>
      <c r="N99" s="129"/>
      <c r="O99" s="127"/>
      <c r="P99" s="129"/>
      <c r="Q99" s="127"/>
      <c r="R99" s="129"/>
      <c r="S99" s="61"/>
      <c r="U99" s="116">
        <f t="shared" si="1"/>
        <v>0</v>
      </c>
      <c r="V99" s="117"/>
      <c r="W99" s="118"/>
      <c r="X99" s="116">
        <f t="shared" si="2"/>
        <v>0</v>
      </c>
      <c r="Y99" s="117"/>
      <c r="Z99" s="118"/>
      <c r="AA99" s="124"/>
      <c r="AB99" s="125"/>
      <c r="AC99" s="125"/>
      <c r="AD99" s="117"/>
      <c r="AE99" s="117"/>
      <c r="AF99" s="126">
        <f t="shared" si="0"/>
        <v>0</v>
      </c>
    </row>
    <row r="100" spans="1:32" ht="13" collapsed="1" x14ac:dyDescent="0.25">
      <c r="A100" s="59"/>
      <c r="B100" s="664" t="s">
        <v>257</v>
      </c>
      <c r="C100" s="130"/>
      <c r="D100" s="130"/>
      <c r="E100" s="130"/>
      <c r="F100" s="130"/>
      <c r="G100" s="130"/>
      <c r="H100" s="130"/>
      <c r="I100" s="130"/>
      <c r="J100" s="130"/>
      <c r="K100" s="130"/>
      <c r="L100" s="130"/>
      <c r="M100" s="130"/>
      <c r="N100" s="130"/>
      <c r="O100" s="130"/>
      <c r="P100" s="130"/>
      <c r="Q100" s="130"/>
      <c r="R100" s="131"/>
      <c r="S100" s="94"/>
      <c r="U100" s="132"/>
      <c r="V100" s="133"/>
      <c r="W100" s="134"/>
      <c r="X100" s="132"/>
      <c r="Y100" s="133"/>
      <c r="Z100" s="134"/>
      <c r="AA100" s="135"/>
      <c r="AB100" s="136"/>
      <c r="AC100" s="136"/>
      <c r="AD100" s="136"/>
      <c r="AE100" s="136"/>
      <c r="AF100" s="137" t="str">
        <f t="shared" si="0"/>
        <v>Special detectors</v>
      </c>
    </row>
    <row r="101" spans="1:32" hidden="1" outlineLevel="1" x14ac:dyDescent="0.25">
      <c r="A101" s="59"/>
      <c r="B101" s="121" t="s">
        <v>784</v>
      </c>
      <c r="C101" s="122">
        <v>0</v>
      </c>
      <c r="D101" s="113" t="s">
        <v>147</v>
      </c>
      <c r="E101" s="123">
        <v>0</v>
      </c>
      <c r="F101" s="115" t="s">
        <v>147</v>
      </c>
      <c r="G101" s="122">
        <v>0</v>
      </c>
      <c r="H101" s="113" t="s">
        <v>147</v>
      </c>
      <c r="I101" s="123">
        <v>0</v>
      </c>
      <c r="J101" s="115" t="s">
        <v>147</v>
      </c>
      <c r="K101" s="122">
        <v>0</v>
      </c>
      <c r="L101" s="113" t="s">
        <v>147</v>
      </c>
      <c r="M101" s="123">
        <v>0</v>
      </c>
      <c r="N101" s="115" t="s">
        <v>147</v>
      </c>
      <c r="O101" s="122">
        <v>0</v>
      </c>
      <c r="P101" s="113" t="s">
        <v>147</v>
      </c>
      <c r="Q101" s="123">
        <v>0</v>
      </c>
      <c r="R101" s="115" t="s">
        <v>147</v>
      </c>
      <c r="S101" s="61"/>
      <c r="U101" s="116">
        <f t="shared" si="1"/>
        <v>3</v>
      </c>
      <c r="V101" s="117">
        <v>3</v>
      </c>
      <c r="W101" s="118">
        <v>0</v>
      </c>
      <c r="X101" s="116">
        <f t="shared" si="2"/>
        <v>3</v>
      </c>
      <c r="Y101" s="117">
        <v>3</v>
      </c>
      <c r="Z101" s="118">
        <v>0</v>
      </c>
      <c r="AA101" s="124">
        <v>1</v>
      </c>
      <c r="AB101" s="125">
        <v>1</v>
      </c>
      <c r="AC101" s="125">
        <v>1</v>
      </c>
      <c r="AD101" s="117">
        <v>0</v>
      </c>
      <c r="AE101" s="117">
        <v>0</v>
      </c>
      <c r="AF101" s="126" t="str">
        <f t="shared" si="0"/>
        <v>FDF241-9 - Infrared flame detector</v>
      </c>
    </row>
    <row r="102" spans="1:32" hidden="1" outlineLevel="1" x14ac:dyDescent="0.25">
      <c r="A102" s="59"/>
      <c r="B102" s="121" t="s">
        <v>785</v>
      </c>
      <c r="C102" s="122">
        <v>0</v>
      </c>
      <c r="D102" s="113" t="s">
        <v>147</v>
      </c>
      <c r="E102" s="123">
        <v>0</v>
      </c>
      <c r="F102" s="115" t="s">
        <v>147</v>
      </c>
      <c r="G102" s="122">
        <v>0</v>
      </c>
      <c r="H102" s="113" t="s">
        <v>147</v>
      </c>
      <c r="I102" s="123">
        <v>0</v>
      </c>
      <c r="J102" s="115" t="s">
        <v>147</v>
      </c>
      <c r="K102" s="122">
        <v>0</v>
      </c>
      <c r="L102" s="113" t="s">
        <v>147</v>
      </c>
      <c r="M102" s="123">
        <v>0</v>
      </c>
      <c r="N102" s="115" t="s">
        <v>147</v>
      </c>
      <c r="O102" s="122">
        <v>0</v>
      </c>
      <c r="P102" s="113" t="s">
        <v>147</v>
      </c>
      <c r="Q102" s="123">
        <v>0</v>
      </c>
      <c r="R102" s="115" t="s">
        <v>147</v>
      </c>
      <c r="S102" s="61"/>
      <c r="U102" s="116">
        <f t="shared" si="1"/>
        <v>4</v>
      </c>
      <c r="V102" s="117">
        <v>4</v>
      </c>
      <c r="W102" s="118">
        <v>0</v>
      </c>
      <c r="X102" s="116">
        <f t="shared" si="2"/>
        <v>4</v>
      </c>
      <c r="Y102" s="117">
        <v>4</v>
      </c>
      <c r="Z102" s="118">
        <v>0</v>
      </c>
      <c r="AA102" s="124">
        <v>1</v>
      </c>
      <c r="AB102" s="125">
        <v>1</v>
      </c>
      <c r="AC102" s="125">
        <v>1</v>
      </c>
      <c r="AD102" s="117">
        <v>0</v>
      </c>
      <c r="AE102" s="117">
        <v>0</v>
      </c>
      <c r="AF102" s="126" t="str">
        <f t="shared" si="0"/>
        <v>FDL241-9 - Linear smoke detector</v>
      </c>
    </row>
    <row r="103" spans="1:32" hidden="1" outlineLevel="1" x14ac:dyDescent="0.25">
      <c r="A103" s="59"/>
      <c r="B103" s="121" t="s">
        <v>786</v>
      </c>
      <c r="C103" s="122">
        <v>0</v>
      </c>
      <c r="D103" s="113" t="s">
        <v>147</v>
      </c>
      <c r="E103" s="123">
        <v>0</v>
      </c>
      <c r="F103" s="115" t="s">
        <v>147</v>
      </c>
      <c r="G103" s="122">
        <v>0</v>
      </c>
      <c r="H103" s="113" t="s">
        <v>147</v>
      </c>
      <c r="I103" s="123">
        <v>0</v>
      </c>
      <c r="J103" s="115" t="s">
        <v>147</v>
      </c>
      <c r="K103" s="122">
        <v>0</v>
      </c>
      <c r="L103" s="113" t="s">
        <v>147</v>
      </c>
      <c r="M103" s="123">
        <v>0</v>
      </c>
      <c r="N103" s="115" t="s">
        <v>147</v>
      </c>
      <c r="O103" s="122">
        <v>0</v>
      </c>
      <c r="P103" s="113" t="s">
        <v>147</v>
      </c>
      <c r="Q103" s="123">
        <v>0</v>
      </c>
      <c r="R103" s="115" t="s">
        <v>147</v>
      </c>
      <c r="S103" s="61"/>
      <c r="U103" s="116">
        <f t="shared" si="1"/>
        <v>2</v>
      </c>
      <c r="V103" s="117">
        <v>2</v>
      </c>
      <c r="W103" s="118">
        <v>0</v>
      </c>
      <c r="X103" s="116">
        <f t="shared" si="2"/>
        <v>2</v>
      </c>
      <c r="Y103" s="117">
        <v>2</v>
      </c>
      <c r="Z103" s="118">
        <v>0</v>
      </c>
      <c r="AA103" s="124">
        <v>1</v>
      </c>
      <c r="AB103" s="125">
        <v>1</v>
      </c>
      <c r="AC103" s="125">
        <v>1</v>
      </c>
      <c r="AD103" s="117">
        <v>0</v>
      </c>
      <c r="AE103" s="117">
        <v>0</v>
      </c>
      <c r="AF103" s="126" t="str">
        <f t="shared" si="0"/>
        <v>OOHC740 - Neural Fire and CO detector</v>
      </c>
    </row>
    <row r="104" spans="1:32" hidden="1" x14ac:dyDescent="0.25">
      <c r="A104" s="59"/>
      <c r="B104" s="121"/>
      <c r="C104" s="122"/>
      <c r="D104" s="113"/>
      <c r="E104" s="123"/>
      <c r="F104" s="115"/>
      <c r="G104" s="122"/>
      <c r="H104" s="113"/>
      <c r="I104" s="123"/>
      <c r="J104" s="115"/>
      <c r="K104" s="122"/>
      <c r="L104" s="113"/>
      <c r="M104" s="123"/>
      <c r="N104" s="115"/>
      <c r="O104" s="122"/>
      <c r="P104" s="113"/>
      <c r="Q104" s="123"/>
      <c r="R104" s="115"/>
      <c r="S104" s="61"/>
      <c r="U104" s="116">
        <v>0</v>
      </c>
      <c r="V104" s="117"/>
      <c r="W104" s="118"/>
      <c r="X104" s="116">
        <v>0</v>
      </c>
      <c r="Y104" s="117"/>
      <c r="Z104" s="118"/>
      <c r="AA104" s="124"/>
      <c r="AB104" s="125"/>
      <c r="AC104" s="125"/>
      <c r="AD104" s="117"/>
      <c r="AE104" s="117"/>
      <c r="AF104" s="126">
        <f t="shared" si="0"/>
        <v>0</v>
      </c>
    </row>
    <row r="105" spans="1:32" hidden="1" x14ac:dyDescent="0.25">
      <c r="A105" s="59"/>
      <c r="B105" s="121"/>
      <c r="C105" s="122"/>
      <c r="D105" s="115"/>
      <c r="E105" s="122"/>
      <c r="F105" s="138"/>
      <c r="G105" s="122"/>
      <c r="H105" s="138"/>
      <c r="I105" s="122"/>
      <c r="J105" s="138"/>
      <c r="K105" s="122"/>
      <c r="L105" s="138"/>
      <c r="M105" s="122"/>
      <c r="N105" s="138"/>
      <c r="O105" s="122"/>
      <c r="P105" s="138"/>
      <c r="Q105" s="122"/>
      <c r="R105" s="138"/>
      <c r="S105" s="61"/>
      <c r="U105" s="116">
        <f t="shared" si="1"/>
        <v>0</v>
      </c>
      <c r="V105" s="117"/>
      <c r="W105" s="139"/>
      <c r="X105" s="116">
        <f t="shared" si="2"/>
        <v>0</v>
      </c>
      <c r="Y105" s="117"/>
      <c r="Z105" s="139"/>
      <c r="AA105" s="124"/>
      <c r="AB105" s="125"/>
      <c r="AC105" s="125"/>
      <c r="AD105" s="117"/>
      <c r="AE105" s="117"/>
      <c r="AF105" s="126">
        <f t="shared" si="0"/>
        <v>0</v>
      </c>
    </row>
    <row r="106" spans="1:32" hidden="1" x14ac:dyDescent="0.25">
      <c r="A106" s="59"/>
      <c r="B106" s="121"/>
      <c r="C106" s="122"/>
      <c r="D106" s="115"/>
      <c r="E106" s="122"/>
      <c r="F106" s="138"/>
      <c r="G106" s="122"/>
      <c r="H106" s="138"/>
      <c r="I106" s="122"/>
      <c r="J106" s="138"/>
      <c r="K106" s="122"/>
      <c r="L106" s="138"/>
      <c r="M106" s="122"/>
      <c r="N106" s="138"/>
      <c r="O106" s="122"/>
      <c r="P106" s="138"/>
      <c r="Q106" s="122"/>
      <c r="R106" s="138"/>
      <c r="S106" s="61"/>
      <c r="U106" s="116">
        <f t="shared" si="1"/>
        <v>0</v>
      </c>
      <c r="V106" s="117"/>
      <c r="W106" s="139"/>
      <c r="X106" s="116">
        <f t="shared" si="2"/>
        <v>0</v>
      </c>
      <c r="Y106" s="117"/>
      <c r="Z106" s="139"/>
      <c r="AA106" s="124"/>
      <c r="AB106" s="125"/>
      <c r="AC106" s="125"/>
      <c r="AD106" s="117"/>
      <c r="AE106" s="117"/>
      <c r="AF106" s="126">
        <f t="shared" si="0"/>
        <v>0</v>
      </c>
    </row>
    <row r="107" spans="1:32" hidden="1" x14ac:dyDescent="0.25">
      <c r="A107" s="59"/>
      <c r="B107" s="121"/>
      <c r="C107" s="122"/>
      <c r="D107" s="115"/>
      <c r="E107" s="122"/>
      <c r="F107" s="138"/>
      <c r="G107" s="122"/>
      <c r="H107" s="138"/>
      <c r="I107" s="122"/>
      <c r="J107" s="138"/>
      <c r="K107" s="122"/>
      <c r="L107" s="138"/>
      <c r="M107" s="122"/>
      <c r="N107" s="138"/>
      <c r="O107" s="122"/>
      <c r="P107" s="138"/>
      <c r="Q107" s="122"/>
      <c r="R107" s="138"/>
      <c r="S107" s="61"/>
      <c r="U107" s="116">
        <f t="shared" si="1"/>
        <v>0</v>
      </c>
      <c r="V107" s="117"/>
      <c r="W107" s="139"/>
      <c r="X107" s="116">
        <f t="shared" si="2"/>
        <v>0</v>
      </c>
      <c r="Y107" s="117"/>
      <c r="Z107" s="139"/>
      <c r="AA107" s="124"/>
      <c r="AB107" s="125"/>
      <c r="AC107" s="125"/>
      <c r="AD107" s="117"/>
      <c r="AE107" s="117"/>
      <c r="AF107" s="126">
        <f t="shared" si="0"/>
        <v>0</v>
      </c>
    </row>
    <row r="108" spans="1:32" hidden="1" x14ac:dyDescent="0.25">
      <c r="A108" s="59"/>
      <c r="B108" s="121"/>
      <c r="C108" s="122"/>
      <c r="D108" s="115"/>
      <c r="E108" s="122"/>
      <c r="F108" s="138"/>
      <c r="G108" s="122"/>
      <c r="H108" s="138"/>
      <c r="I108" s="122"/>
      <c r="J108" s="138"/>
      <c r="K108" s="122"/>
      <c r="L108" s="138"/>
      <c r="M108" s="122"/>
      <c r="N108" s="138"/>
      <c r="O108" s="122"/>
      <c r="P108" s="138"/>
      <c r="Q108" s="122"/>
      <c r="R108" s="138"/>
      <c r="S108" s="61"/>
      <c r="U108" s="116">
        <f t="shared" si="1"/>
        <v>0</v>
      </c>
      <c r="V108" s="117"/>
      <c r="W108" s="139"/>
      <c r="X108" s="116">
        <f t="shared" si="2"/>
        <v>0</v>
      </c>
      <c r="Y108" s="117"/>
      <c r="Z108" s="139"/>
      <c r="AA108" s="124"/>
      <c r="AB108" s="125"/>
      <c r="AC108" s="125"/>
      <c r="AD108" s="117"/>
      <c r="AE108" s="117"/>
      <c r="AF108" s="126">
        <f t="shared" si="0"/>
        <v>0</v>
      </c>
    </row>
    <row r="109" spans="1:32" hidden="1" x14ac:dyDescent="0.25">
      <c r="A109" s="59"/>
      <c r="B109" s="121"/>
      <c r="C109" s="122"/>
      <c r="D109" s="115"/>
      <c r="E109" s="122"/>
      <c r="F109" s="138"/>
      <c r="G109" s="122"/>
      <c r="H109" s="138"/>
      <c r="I109" s="122"/>
      <c r="J109" s="138"/>
      <c r="K109" s="122"/>
      <c r="L109" s="138"/>
      <c r="M109" s="122"/>
      <c r="N109" s="138"/>
      <c r="O109" s="122"/>
      <c r="P109" s="138"/>
      <c r="Q109" s="122"/>
      <c r="R109" s="138"/>
      <c r="S109" s="61"/>
      <c r="U109" s="116">
        <f t="shared" si="1"/>
        <v>0</v>
      </c>
      <c r="V109" s="117"/>
      <c r="W109" s="139"/>
      <c r="X109" s="116">
        <f t="shared" si="2"/>
        <v>0</v>
      </c>
      <c r="Y109" s="117"/>
      <c r="Z109" s="139"/>
      <c r="AA109" s="124"/>
      <c r="AB109" s="125"/>
      <c r="AC109" s="125"/>
      <c r="AD109" s="117"/>
      <c r="AE109" s="117"/>
      <c r="AF109" s="126">
        <f t="shared" si="0"/>
        <v>0</v>
      </c>
    </row>
    <row r="110" spans="1:32" hidden="1" x14ac:dyDescent="0.25">
      <c r="A110" s="59"/>
      <c r="B110" s="121"/>
      <c r="C110" s="122"/>
      <c r="D110" s="115"/>
      <c r="E110" s="122"/>
      <c r="F110" s="138"/>
      <c r="G110" s="122"/>
      <c r="H110" s="138"/>
      <c r="I110" s="122"/>
      <c r="J110" s="138"/>
      <c r="K110" s="122"/>
      <c r="L110" s="138"/>
      <c r="M110" s="122"/>
      <c r="N110" s="138"/>
      <c r="O110" s="122"/>
      <c r="P110" s="138"/>
      <c r="Q110" s="122"/>
      <c r="R110" s="138"/>
      <c r="S110" s="61"/>
      <c r="U110" s="116">
        <f t="shared" si="1"/>
        <v>0</v>
      </c>
      <c r="V110" s="117"/>
      <c r="W110" s="139"/>
      <c r="X110" s="116">
        <f t="shared" si="2"/>
        <v>0</v>
      </c>
      <c r="Y110" s="117"/>
      <c r="Z110" s="139"/>
      <c r="AA110" s="124"/>
      <c r="AB110" s="125"/>
      <c r="AC110" s="125"/>
      <c r="AD110" s="117"/>
      <c r="AE110" s="117"/>
      <c r="AF110" s="126">
        <f t="shared" si="0"/>
        <v>0</v>
      </c>
    </row>
    <row r="111" spans="1:32" hidden="1" x14ac:dyDescent="0.25">
      <c r="A111" s="59"/>
      <c r="B111" s="121"/>
      <c r="C111" s="122"/>
      <c r="D111" s="115"/>
      <c r="E111" s="122"/>
      <c r="F111" s="138"/>
      <c r="G111" s="122"/>
      <c r="H111" s="138"/>
      <c r="I111" s="122"/>
      <c r="J111" s="138"/>
      <c r="K111" s="122"/>
      <c r="L111" s="138"/>
      <c r="M111" s="122"/>
      <c r="N111" s="138"/>
      <c r="O111" s="122"/>
      <c r="P111" s="138"/>
      <c r="Q111" s="122"/>
      <c r="R111" s="138"/>
      <c r="S111" s="61"/>
      <c r="U111" s="116">
        <f t="shared" si="1"/>
        <v>0</v>
      </c>
      <c r="V111" s="117"/>
      <c r="W111" s="139"/>
      <c r="X111" s="116">
        <f t="shared" si="2"/>
        <v>0</v>
      </c>
      <c r="Y111" s="117"/>
      <c r="Z111" s="139"/>
      <c r="AA111" s="124"/>
      <c r="AB111" s="125"/>
      <c r="AC111" s="125"/>
      <c r="AD111" s="117"/>
      <c r="AE111" s="117"/>
      <c r="AF111" s="126">
        <f t="shared" si="0"/>
        <v>0</v>
      </c>
    </row>
    <row r="112" spans="1:32" hidden="1" x14ac:dyDescent="0.25">
      <c r="A112" s="59"/>
      <c r="B112" s="121"/>
      <c r="C112" s="122"/>
      <c r="D112" s="115"/>
      <c r="E112" s="122"/>
      <c r="F112" s="138"/>
      <c r="G112" s="122"/>
      <c r="H112" s="138"/>
      <c r="I112" s="122"/>
      <c r="J112" s="138"/>
      <c r="K112" s="122"/>
      <c r="L112" s="138"/>
      <c r="M112" s="122"/>
      <c r="N112" s="138"/>
      <c r="O112" s="122"/>
      <c r="P112" s="138"/>
      <c r="Q112" s="122"/>
      <c r="R112" s="138"/>
      <c r="S112" s="61"/>
      <c r="U112" s="116">
        <f t="shared" si="1"/>
        <v>0</v>
      </c>
      <c r="V112" s="117"/>
      <c r="W112" s="139"/>
      <c r="X112" s="116">
        <f t="shared" si="2"/>
        <v>0</v>
      </c>
      <c r="Y112" s="117"/>
      <c r="Z112" s="139"/>
      <c r="AA112" s="124"/>
      <c r="AB112" s="125"/>
      <c r="AC112" s="125"/>
      <c r="AD112" s="117"/>
      <c r="AE112" s="117"/>
      <c r="AF112" s="126">
        <f t="shared" si="0"/>
        <v>0</v>
      </c>
    </row>
    <row r="113" spans="1:32" hidden="1" x14ac:dyDescent="0.25">
      <c r="A113" s="59"/>
      <c r="B113" s="121"/>
      <c r="C113" s="122"/>
      <c r="D113" s="115"/>
      <c r="E113" s="122"/>
      <c r="F113" s="138"/>
      <c r="G113" s="122"/>
      <c r="H113" s="138"/>
      <c r="I113" s="122"/>
      <c r="J113" s="138"/>
      <c r="K113" s="122"/>
      <c r="L113" s="138"/>
      <c r="M113" s="122"/>
      <c r="N113" s="138"/>
      <c r="O113" s="122"/>
      <c r="P113" s="138"/>
      <c r="Q113" s="122"/>
      <c r="R113" s="138"/>
      <c r="S113" s="61"/>
      <c r="U113" s="116">
        <f t="shared" si="1"/>
        <v>0</v>
      </c>
      <c r="V113" s="117"/>
      <c r="W113" s="139"/>
      <c r="X113" s="116">
        <f t="shared" si="2"/>
        <v>0</v>
      </c>
      <c r="Y113" s="117"/>
      <c r="Z113" s="139"/>
      <c r="AA113" s="124"/>
      <c r="AB113" s="125"/>
      <c r="AC113" s="125"/>
      <c r="AD113" s="117"/>
      <c r="AE113" s="117"/>
      <c r="AF113" s="126">
        <f t="shared" si="0"/>
        <v>0</v>
      </c>
    </row>
    <row r="114" spans="1:32" hidden="1" x14ac:dyDescent="0.25">
      <c r="A114" s="59"/>
      <c r="B114" s="121"/>
      <c r="C114" s="122"/>
      <c r="D114" s="115"/>
      <c r="E114" s="122"/>
      <c r="F114" s="138"/>
      <c r="G114" s="122"/>
      <c r="H114" s="138"/>
      <c r="I114" s="122"/>
      <c r="J114" s="138"/>
      <c r="K114" s="122"/>
      <c r="L114" s="138"/>
      <c r="M114" s="122"/>
      <c r="N114" s="138"/>
      <c r="O114" s="122"/>
      <c r="P114" s="138"/>
      <c r="Q114" s="122"/>
      <c r="R114" s="138"/>
      <c r="S114" s="61"/>
      <c r="U114" s="116">
        <f t="shared" si="1"/>
        <v>0</v>
      </c>
      <c r="V114" s="117"/>
      <c r="W114" s="139"/>
      <c r="X114" s="116">
        <f t="shared" si="2"/>
        <v>0</v>
      </c>
      <c r="Y114" s="117"/>
      <c r="Z114" s="139"/>
      <c r="AA114" s="124"/>
      <c r="AB114" s="125"/>
      <c r="AC114" s="125"/>
      <c r="AD114" s="117"/>
      <c r="AE114" s="117"/>
      <c r="AF114" s="126">
        <f t="shared" si="0"/>
        <v>0</v>
      </c>
    </row>
    <row r="115" spans="1:32" ht="13" collapsed="1" x14ac:dyDescent="0.25">
      <c r="A115" s="59"/>
      <c r="B115" s="664" t="s">
        <v>258</v>
      </c>
      <c r="C115" s="130"/>
      <c r="D115" s="130"/>
      <c r="E115" s="130"/>
      <c r="F115" s="130"/>
      <c r="G115" s="130"/>
      <c r="H115" s="130"/>
      <c r="I115" s="130"/>
      <c r="J115" s="130"/>
      <c r="K115" s="130"/>
      <c r="L115" s="130"/>
      <c r="M115" s="130"/>
      <c r="N115" s="130"/>
      <c r="O115" s="130"/>
      <c r="P115" s="130"/>
      <c r="Q115" s="130"/>
      <c r="R115" s="131"/>
      <c r="S115" s="94"/>
      <c r="U115" s="132"/>
      <c r="V115" s="133"/>
      <c r="W115" s="140"/>
      <c r="X115" s="132"/>
      <c r="Y115" s="133"/>
      <c r="Z115" s="140"/>
      <c r="AA115" s="135"/>
      <c r="AB115" s="136"/>
      <c r="AC115" s="136"/>
      <c r="AD115" s="136"/>
      <c r="AE115" s="136"/>
      <c r="AF115" s="137" t="str">
        <f t="shared" si="0"/>
        <v>Manual call points</v>
      </c>
    </row>
    <row r="116" spans="1:32" hidden="1" outlineLevel="1" x14ac:dyDescent="0.25">
      <c r="A116" s="59"/>
      <c r="B116" s="141" t="s">
        <v>259</v>
      </c>
      <c r="C116" s="122">
        <v>0</v>
      </c>
      <c r="D116" s="113" t="s">
        <v>147</v>
      </c>
      <c r="E116" s="123">
        <v>0</v>
      </c>
      <c r="F116" s="115" t="s">
        <v>147</v>
      </c>
      <c r="G116" s="122">
        <v>0</v>
      </c>
      <c r="H116" s="113" t="s">
        <v>147</v>
      </c>
      <c r="I116" s="123">
        <v>0</v>
      </c>
      <c r="J116" s="115" t="s">
        <v>147</v>
      </c>
      <c r="K116" s="122">
        <v>0</v>
      </c>
      <c r="L116" s="113" t="s">
        <v>147</v>
      </c>
      <c r="M116" s="123">
        <v>0</v>
      </c>
      <c r="N116" s="115" t="s">
        <v>147</v>
      </c>
      <c r="O116" s="122">
        <v>0</v>
      </c>
      <c r="P116" s="113" t="s">
        <v>147</v>
      </c>
      <c r="Q116" s="123">
        <v>0</v>
      </c>
      <c r="R116" s="115" t="s">
        <v>147</v>
      </c>
      <c r="S116" s="61"/>
      <c r="U116" s="116">
        <f t="shared" si="1"/>
        <v>1</v>
      </c>
      <c r="V116" s="117">
        <v>1</v>
      </c>
      <c r="W116" s="118">
        <v>0</v>
      </c>
      <c r="X116" s="116">
        <f t="shared" si="2"/>
        <v>1</v>
      </c>
      <c r="Y116" s="117">
        <v>1</v>
      </c>
      <c r="Z116" s="118">
        <v>0</v>
      </c>
      <c r="AA116" s="124">
        <v>1</v>
      </c>
      <c r="AB116" s="125">
        <v>1</v>
      </c>
      <c r="AC116" s="125">
        <v>1</v>
      </c>
      <c r="AD116" s="117">
        <v>0</v>
      </c>
      <c r="AE116" s="117">
        <v>0</v>
      </c>
      <c r="AF116" s="126" t="str">
        <f t="shared" si="0"/>
        <v>FDM22x - Manual call points</v>
      </c>
    </row>
    <row r="117" spans="1:32" hidden="1" outlineLevel="1" x14ac:dyDescent="0.25">
      <c r="A117" s="59"/>
      <c r="B117" s="141" t="s">
        <v>787</v>
      </c>
      <c r="C117" s="122">
        <v>0</v>
      </c>
      <c r="D117" s="115" t="s">
        <v>147</v>
      </c>
      <c r="E117" s="122">
        <v>0</v>
      </c>
      <c r="F117" s="138" t="s">
        <v>147</v>
      </c>
      <c r="G117" s="122">
        <v>0</v>
      </c>
      <c r="H117" s="138" t="s">
        <v>147</v>
      </c>
      <c r="I117" s="122">
        <v>0</v>
      </c>
      <c r="J117" s="138" t="s">
        <v>147</v>
      </c>
      <c r="K117" s="122">
        <v>0</v>
      </c>
      <c r="L117" s="138" t="s">
        <v>147</v>
      </c>
      <c r="M117" s="122">
        <v>0</v>
      </c>
      <c r="N117" s="138" t="s">
        <v>147</v>
      </c>
      <c r="O117" s="122">
        <v>0</v>
      </c>
      <c r="P117" s="138" t="s">
        <v>147</v>
      </c>
      <c r="Q117" s="122">
        <v>0</v>
      </c>
      <c r="R117" s="138" t="s">
        <v>147</v>
      </c>
      <c r="S117" s="61"/>
      <c r="U117" s="116">
        <f t="shared" si="1"/>
        <v>1</v>
      </c>
      <c r="V117" s="117">
        <v>1</v>
      </c>
      <c r="W117" s="118">
        <v>0</v>
      </c>
      <c r="X117" s="116">
        <f t="shared" si="2"/>
        <v>1</v>
      </c>
      <c r="Y117" s="117">
        <v>1</v>
      </c>
      <c r="Z117" s="118">
        <v>0</v>
      </c>
      <c r="AA117" s="124">
        <v>1</v>
      </c>
      <c r="AB117" s="125">
        <v>1</v>
      </c>
      <c r="AC117" s="125">
        <v>1</v>
      </c>
      <c r="AD117" s="117">
        <v>0</v>
      </c>
      <c r="AE117" s="117">
        <v>0</v>
      </c>
      <c r="AF117" s="126" t="str">
        <f t="shared" si="0"/>
        <v>FDM231 - Manual call point</v>
      </c>
    </row>
    <row r="118" spans="1:32" hidden="1" outlineLevel="1" x14ac:dyDescent="0.25">
      <c r="A118" s="59"/>
      <c r="B118" s="141" t="s">
        <v>954</v>
      </c>
      <c r="C118" s="122">
        <v>0</v>
      </c>
      <c r="D118" s="115" t="s">
        <v>147</v>
      </c>
      <c r="E118" s="122">
        <v>0</v>
      </c>
      <c r="F118" s="138" t="s">
        <v>147</v>
      </c>
      <c r="G118" s="122">
        <v>0</v>
      </c>
      <c r="H118" s="138" t="s">
        <v>147</v>
      </c>
      <c r="I118" s="122">
        <v>0</v>
      </c>
      <c r="J118" s="138" t="s">
        <v>147</v>
      </c>
      <c r="K118" s="122">
        <v>0</v>
      </c>
      <c r="L118" s="138" t="s">
        <v>147</v>
      </c>
      <c r="M118" s="122">
        <v>0</v>
      </c>
      <c r="N118" s="138" t="s">
        <v>147</v>
      </c>
      <c r="O118" s="122">
        <v>0</v>
      </c>
      <c r="P118" s="138" t="s">
        <v>147</v>
      </c>
      <c r="Q118" s="122">
        <v>0</v>
      </c>
      <c r="R118" s="138" t="s">
        <v>147</v>
      </c>
      <c r="S118" s="61"/>
      <c r="U118" s="116">
        <f t="shared" si="1"/>
        <v>1</v>
      </c>
      <c r="V118" s="117">
        <v>1</v>
      </c>
      <c r="W118" s="118">
        <v>0</v>
      </c>
      <c r="X118" s="116">
        <f t="shared" si="2"/>
        <v>1</v>
      </c>
      <c r="Y118" s="117">
        <v>1</v>
      </c>
      <c r="Z118" s="118">
        <v>0</v>
      </c>
      <c r="AA118" s="124">
        <v>1</v>
      </c>
      <c r="AB118" s="125">
        <v>1</v>
      </c>
      <c r="AC118" s="125">
        <v>1</v>
      </c>
      <c r="AD118" s="117">
        <v>0</v>
      </c>
      <c r="AE118" s="117">
        <v>0</v>
      </c>
      <c r="AF118" s="126" t="str">
        <f t="shared" si="0"/>
        <v>FDM365-RP - Resettable MCP</v>
      </c>
    </row>
    <row r="119" spans="1:32" hidden="1" x14ac:dyDescent="0.25">
      <c r="A119" s="59"/>
      <c r="B119" s="141"/>
      <c r="C119" s="122"/>
      <c r="D119" s="115"/>
      <c r="E119" s="122"/>
      <c r="F119" s="138"/>
      <c r="G119" s="122"/>
      <c r="H119" s="138"/>
      <c r="I119" s="122"/>
      <c r="J119" s="138"/>
      <c r="K119" s="122"/>
      <c r="L119" s="138"/>
      <c r="M119" s="122"/>
      <c r="N119" s="138"/>
      <c r="O119" s="122"/>
      <c r="P119" s="138"/>
      <c r="Q119" s="122"/>
      <c r="R119" s="138"/>
      <c r="S119" s="61"/>
      <c r="U119" s="116">
        <f t="shared" si="1"/>
        <v>0</v>
      </c>
      <c r="V119" s="117"/>
      <c r="W119" s="118"/>
      <c r="X119" s="116">
        <f t="shared" si="2"/>
        <v>0</v>
      </c>
      <c r="Y119" s="117"/>
      <c r="Z119" s="118"/>
      <c r="AA119" s="124"/>
      <c r="AB119" s="125"/>
      <c r="AC119" s="125"/>
      <c r="AD119" s="117"/>
      <c r="AE119" s="117"/>
      <c r="AF119" s="126">
        <f t="shared" si="0"/>
        <v>0</v>
      </c>
    </row>
    <row r="120" spans="1:32" hidden="1" x14ac:dyDescent="0.25">
      <c r="A120" s="59"/>
      <c r="B120" s="141"/>
      <c r="C120" s="122"/>
      <c r="D120" s="115"/>
      <c r="E120" s="122"/>
      <c r="F120" s="138"/>
      <c r="G120" s="122"/>
      <c r="H120" s="138"/>
      <c r="I120" s="122"/>
      <c r="J120" s="138"/>
      <c r="K120" s="122"/>
      <c r="L120" s="138"/>
      <c r="M120" s="122"/>
      <c r="N120" s="138"/>
      <c r="O120" s="122"/>
      <c r="P120" s="138"/>
      <c r="Q120" s="122"/>
      <c r="R120" s="138"/>
      <c r="S120" s="61"/>
      <c r="U120" s="116">
        <f t="shared" si="1"/>
        <v>0</v>
      </c>
      <c r="V120" s="117"/>
      <c r="W120" s="118"/>
      <c r="X120" s="116">
        <f t="shared" si="2"/>
        <v>0</v>
      </c>
      <c r="Y120" s="117"/>
      <c r="Z120" s="118"/>
      <c r="AA120" s="124"/>
      <c r="AB120" s="125"/>
      <c r="AC120" s="125"/>
      <c r="AD120" s="117"/>
      <c r="AE120" s="117"/>
      <c r="AF120" s="126">
        <f t="shared" si="0"/>
        <v>0</v>
      </c>
    </row>
    <row r="121" spans="1:32" hidden="1" x14ac:dyDescent="0.25">
      <c r="A121" s="59"/>
      <c r="B121" s="141"/>
      <c r="C121" s="122"/>
      <c r="D121" s="115"/>
      <c r="E121" s="122"/>
      <c r="F121" s="138"/>
      <c r="G121" s="122"/>
      <c r="H121" s="138"/>
      <c r="I121" s="122"/>
      <c r="J121" s="138"/>
      <c r="K121" s="122"/>
      <c r="L121" s="138"/>
      <c r="M121" s="122"/>
      <c r="N121" s="138"/>
      <c r="O121" s="122"/>
      <c r="P121" s="138"/>
      <c r="Q121" s="122"/>
      <c r="R121" s="138"/>
      <c r="S121" s="61"/>
      <c r="U121" s="116">
        <f t="shared" si="1"/>
        <v>0</v>
      </c>
      <c r="V121" s="117"/>
      <c r="W121" s="118"/>
      <c r="X121" s="116">
        <f t="shared" si="2"/>
        <v>0</v>
      </c>
      <c r="Y121" s="117"/>
      <c r="Z121" s="118"/>
      <c r="AA121" s="124"/>
      <c r="AB121" s="125"/>
      <c r="AC121" s="125"/>
      <c r="AD121" s="117"/>
      <c r="AE121" s="117"/>
      <c r="AF121" s="126">
        <f t="shared" si="0"/>
        <v>0</v>
      </c>
    </row>
    <row r="122" spans="1:32" hidden="1" x14ac:dyDescent="0.25">
      <c r="A122" s="59"/>
      <c r="B122" s="141"/>
      <c r="C122" s="122"/>
      <c r="D122" s="115"/>
      <c r="E122" s="122"/>
      <c r="F122" s="138"/>
      <c r="G122" s="122"/>
      <c r="H122" s="138"/>
      <c r="I122" s="122"/>
      <c r="J122" s="138"/>
      <c r="K122" s="122"/>
      <c r="L122" s="138"/>
      <c r="M122" s="122"/>
      <c r="N122" s="138"/>
      <c r="O122" s="122"/>
      <c r="P122" s="138"/>
      <c r="Q122" s="122"/>
      <c r="R122" s="138"/>
      <c r="S122" s="61"/>
      <c r="U122" s="116">
        <f t="shared" si="1"/>
        <v>0</v>
      </c>
      <c r="V122" s="117"/>
      <c r="W122" s="118"/>
      <c r="X122" s="116">
        <f t="shared" si="2"/>
        <v>0</v>
      </c>
      <c r="Y122" s="117"/>
      <c r="Z122" s="118"/>
      <c r="AA122" s="124"/>
      <c r="AB122" s="125"/>
      <c r="AC122" s="125"/>
      <c r="AD122" s="117"/>
      <c r="AE122" s="117"/>
      <c r="AF122" s="126">
        <f t="shared" si="0"/>
        <v>0</v>
      </c>
    </row>
    <row r="123" spans="1:32" hidden="1" x14ac:dyDescent="0.25">
      <c r="A123" s="59"/>
      <c r="B123" s="141"/>
      <c r="C123" s="122"/>
      <c r="D123" s="115"/>
      <c r="E123" s="122"/>
      <c r="F123" s="138"/>
      <c r="G123" s="122"/>
      <c r="H123" s="138"/>
      <c r="I123" s="122"/>
      <c r="J123" s="138"/>
      <c r="K123" s="122"/>
      <c r="L123" s="138"/>
      <c r="M123" s="122"/>
      <c r="N123" s="138"/>
      <c r="O123" s="122"/>
      <c r="P123" s="138"/>
      <c r="Q123" s="122"/>
      <c r="R123" s="138"/>
      <c r="S123" s="61"/>
      <c r="U123" s="116">
        <f t="shared" si="1"/>
        <v>0</v>
      </c>
      <c r="V123" s="117"/>
      <c r="W123" s="118"/>
      <c r="X123" s="116">
        <f t="shared" si="2"/>
        <v>0</v>
      </c>
      <c r="Y123" s="117"/>
      <c r="Z123" s="118"/>
      <c r="AA123" s="124"/>
      <c r="AB123" s="125"/>
      <c r="AC123" s="125"/>
      <c r="AD123" s="117"/>
      <c r="AE123" s="117"/>
      <c r="AF123" s="126">
        <f t="shared" si="0"/>
        <v>0</v>
      </c>
    </row>
    <row r="124" spans="1:32" hidden="1" x14ac:dyDescent="0.25">
      <c r="A124" s="59"/>
      <c r="B124" s="141"/>
      <c r="C124" s="122"/>
      <c r="D124" s="115"/>
      <c r="E124" s="122"/>
      <c r="F124" s="138"/>
      <c r="G124" s="122"/>
      <c r="H124" s="138"/>
      <c r="I124" s="122"/>
      <c r="J124" s="138"/>
      <c r="K124" s="122"/>
      <c r="L124" s="138"/>
      <c r="M124" s="122"/>
      <c r="N124" s="138"/>
      <c r="O124" s="122"/>
      <c r="P124" s="138"/>
      <c r="Q124" s="122"/>
      <c r="R124" s="138"/>
      <c r="S124" s="61"/>
      <c r="U124" s="116">
        <f t="shared" si="1"/>
        <v>0</v>
      </c>
      <c r="V124" s="117"/>
      <c r="W124" s="118"/>
      <c r="X124" s="116">
        <f t="shared" si="2"/>
        <v>0</v>
      </c>
      <c r="Y124" s="117"/>
      <c r="Z124" s="118"/>
      <c r="AA124" s="124"/>
      <c r="AB124" s="125"/>
      <c r="AC124" s="125"/>
      <c r="AD124" s="117"/>
      <c r="AE124" s="117"/>
      <c r="AF124" s="126">
        <f t="shared" si="0"/>
        <v>0</v>
      </c>
    </row>
    <row r="125" spans="1:32" hidden="1" x14ac:dyDescent="0.25">
      <c r="A125" s="59"/>
      <c r="B125" s="141"/>
      <c r="C125" s="122"/>
      <c r="D125" s="115"/>
      <c r="E125" s="122"/>
      <c r="F125" s="138"/>
      <c r="G125" s="122"/>
      <c r="H125" s="138"/>
      <c r="I125" s="122"/>
      <c r="J125" s="138"/>
      <c r="K125" s="122"/>
      <c r="L125" s="138"/>
      <c r="M125" s="122"/>
      <c r="N125" s="138"/>
      <c r="O125" s="122"/>
      <c r="P125" s="138"/>
      <c r="Q125" s="122"/>
      <c r="R125" s="138"/>
      <c r="S125" s="61"/>
      <c r="U125" s="116">
        <f t="shared" si="1"/>
        <v>0</v>
      </c>
      <c r="V125" s="117"/>
      <c r="W125" s="118"/>
      <c r="X125" s="116">
        <f t="shared" si="2"/>
        <v>0</v>
      </c>
      <c r="Y125" s="117"/>
      <c r="Z125" s="118"/>
      <c r="AA125" s="124"/>
      <c r="AB125" s="125"/>
      <c r="AC125" s="125"/>
      <c r="AD125" s="117"/>
      <c r="AE125" s="117"/>
      <c r="AF125" s="126">
        <f t="shared" si="0"/>
        <v>0</v>
      </c>
    </row>
    <row r="126" spans="1:32" hidden="1" x14ac:dyDescent="0.25">
      <c r="A126" s="59"/>
      <c r="B126" s="141"/>
      <c r="C126" s="122"/>
      <c r="D126" s="115"/>
      <c r="E126" s="122"/>
      <c r="F126" s="138"/>
      <c r="G126" s="122"/>
      <c r="H126" s="138"/>
      <c r="I126" s="122"/>
      <c r="J126" s="138"/>
      <c r="K126" s="122"/>
      <c r="L126" s="138"/>
      <c r="M126" s="122"/>
      <c r="N126" s="138"/>
      <c r="O126" s="122"/>
      <c r="P126" s="138"/>
      <c r="Q126" s="122"/>
      <c r="R126" s="138"/>
      <c r="S126" s="61"/>
      <c r="U126" s="116">
        <f t="shared" si="1"/>
        <v>0</v>
      </c>
      <c r="V126" s="117"/>
      <c r="W126" s="118"/>
      <c r="X126" s="116">
        <f t="shared" si="2"/>
        <v>0</v>
      </c>
      <c r="Y126" s="117"/>
      <c r="Z126" s="118"/>
      <c r="AA126" s="124"/>
      <c r="AB126" s="125"/>
      <c r="AC126" s="125"/>
      <c r="AD126" s="117"/>
      <c r="AE126" s="117"/>
      <c r="AF126" s="126">
        <f t="shared" si="0"/>
        <v>0</v>
      </c>
    </row>
    <row r="127" spans="1:32" ht="13" collapsed="1" x14ac:dyDescent="0.25">
      <c r="A127" s="59"/>
      <c r="B127" s="664" t="s">
        <v>260</v>
      </c>
      <c r="C127" s="130"/>
      <c r="D127" s="130"/>
      <c r="E127" s="130"/>
      <c r="F127" s="130"/>
      <c r="G127" s="130"/>
      <c r="H127" s="130"/>
      <c r="I127" s="130"/>
      <c r="J127" s="130"/>
      <c r="K127" s="130"/>
      <c r="L127" s="130"/>
      <c r="M127" s="130"/>
      <c r="N127" s="130"/>
      <c r="O127" s="130"/>
      <c r="P127" s="130"/>
      <c r="Q127" s="130"/>
      <c r="R127" s="131"/>
      <c r="S127" s="94"/>
      <c r="U127" s="132"/>
      <c r="V127" s="133"/>
      <c r="W127" s="134"/>
      <c r="X127" s="132"/>
      <c r="Y127" s="133"/>
      <c r="Z127" s="134"/>
      <c r="AA127" s="142"/>
      <c r="AB127" s="136"/>
      <c r="AC127" s="136"/>
      <c r="AD127" s="136"/>
      <c r="AE127" s="136"/>
      <c r="AF127" s="137" t="str">
        <f t="shared" si="0"/>
        <v>Line modules</v>
      </c>
    </row>
    <row r="128" spans="1:32" hidden="1" outlineLevel="1" x14ac:dyDescent="0.25">
      <c r="A128" s="59"/>
      <c r="B128" s="121" t="s">
        <v>261</v>
      </c>
      <c r="C128" s="122">
        <v>0</v>
      </c>
      <c r="D128" s="113" t="s">
        <v>147</v>
      </c>
      <c r="E128" s="123">
        <v>0</v>
      </c>
      <c r="F128" s="115" t="s">
        <v>147</v>
      </c>
      <c r="G128" s="122">
        <v>0</v>
      </c>
      <c r="H128" s="113" t="s">
        <v>147</v>
      </c>
      <c r="I128" s="123">
        <v>0</v>
      </c>
      <c r="J128" s="115" t="s">
        <v>147</v>
      </c>
      <c r="K128" s="122">
        <v>0</v>
      </c>
      <c r="L128" s="113" t="s">
        <v>147</v>
      </c>
      <c r="M128" s="123">
        <v>0</v>
      </c>
      <c r="N128" s="115" t="s">
        <v>147</v>
      </c>
      <c r="O128" s="122">
        <v>0</v>
      </c>
      <c r="P128" s="113" t="s">
        <v>147</v>
      </c>
      <c r="Q128" s="123">
        <v>0</v>
      </c>
      <c r="R128" s="115" t="s">
        <v>147</v>
      </c>
      <c r="S128" s="61"/>
      <c r="U128" s="116">
        <f t="shared" si="1"/>
        <v>2</v>
      </c>
      <c r="V128" s="117">
        <v>2</v>
      </c>
      <c r="W128" s="118">
        <v>0</v>
      </c>
      <c r="X128" s="116">
        <f t="shared" si="2"/>
        <v>2</v>
      </c>
      <c r="Y128" s="117">
        <v>2</v>
      </c>
      <c r="Z128" s="118">
        <v>0</v>
      </c>
      <c r="AA128" s="124">
        <v>1</v>
      </c>
      <c r="AB128" s="125">
        <v>1</v>
      </c>
      <c r="AC128" s="125">
        <v>0</v>
      </c>
      <c r="AD128" s="117">
        <v>0</v>
      </c>
      <c r="AE128" s="117">
        <v>0</v>
      </c>
      <c r="AF128" s="126" t="str">
        <f t="shared" si="0"/>
        <v>FDCI221 - Input module (1I)</v>
      </c>
    </row>
    <row r="129" spans="1:32" hidden="1" outlineLevel="1" x14ac:dyDescent="0.25">
      <c r="A129" s="59"/>
      <c r="B129" s="121" t="s">
        <v>262</v>
      </c>
      <c r="C129" s="122">
        <v>0</v>
      </c>
      <c r="D129" s="113" t="s">
        <v>147</v>
      </c>
      <c r="E129" s="123">
        <v>0</v>
      </c>
      <c r="F129" s="115" t="s">
        <v>147</v>
      </c>
      <c r="G129" s="122">
        <v>0</v>
      </c>
      <c r="H129" s="113" t="s">
        <v>147</v>
      </c>
      <c r="I129" s="123">
        <v>0</v>
      </c>
      <c r="J129" s="115" t="s">
        <v>147</v>
      </c>
      <c r="K129" s="122">
        <v>0</v>
      </c>
      <c r="L129" s="113" t="s">
        <v>147</v>
      </c>
      <c r="M129" s="123">
        <v>0</v>
      </c>
      <c r="N129" s="115" t="s">
        <v>147</v>
      </c>
      <c r="O129" s="122">
        <v>0</v>
      </c>
      <c r="P129" s="113" t="s">
        <v>147</v>
      </c>
      <c r="Q129" s="123">
        <v>0</v>
      </c>
      <c r="R129" s="115" t="s">
        <v>147</v>
      </c>
      <c r="S129" s="61"/>
      <c r="U129" s="116">
        <f t="shared" si="1"/>
        <v>2</v>
      </c>
      <c r="V129" s="117">
        <v>2</v>
      </c>
      <c r="W129" s="118">
        <v>0</v>
      </c>
      <c r="X129" s="116">
        <f t="shared" si="2"/>
        <v>2</v>
      </c>
      <c r="Y129" s="117">
        <v>2</v>
      </c>
      <c r="Z129" s="118">
        <v>0</v>
      </c>
      <c r="AA129" s="124">
        <v>1</v>
      </c>
      <c r="AB129" s="125">
        <v>1</v>
      </c>
      <c r="AC129" s="125">
        <v>0</v>
      </c>
      <c r="AD129" s="117">
        <v>0</v>
      </c>
      <c r="AE129" s="117">
        <v>0</v>
      </c>
      <c r="AF129" s="126" t="str">
        <f t="shared" si="0"/>
        <v>FDCI222 - Input module (4I)</v>
      </c>
    </row>
    <row r="130" spans="1:32" hidden="1" outlineLevel="1" x14ac:dyDescent="0.25">
      <c r="A130" s="59"/>
      <c r="B130" s="121" t="s">
        <v>263</v>
      </c>
      <c r="C130" s="122">
        <v>0</v>
      </c>
      <c r="D130" s="113" t="s">
        <v>147</v>
      </c>
      <c r="E130" s="123">
        <v>0</v>
      </c>
      <c r="F130" s="115" t="s">
        <v>147</v>
      </c>
      <c r="G130" s="122">
        <v>0</v>
      </c>
      <c r="H130" s="113" t="s">
        <v>147</v>
      </c>
      <c r="I130" s="123">
        <v>0</v>
      </c>
      <c r="J130" s="115" t="s">
        <v>147</v>
      </c>
      <c r="K130" s="122">
        <v>0</v>
      </c>
      <c r="L130" s="113" t="s">
        <v>147</v>
      </c>
      <c r="M130" s="123">
        <v>0</v>
      </c>
      <c r="N130" s="115" t="s">
        <v>147</v>
      </c>
      <c r="O130" s="122">
        <v>0</v>
      </c>
      <c r="P130" s="113" t="s">
        <v>147</v>
      </c>
      <c r="Q130" s="123">
        <v>0</v>
      </c>
      <c r="R130" s="115" t="s">
        <v>147</v>
      </c>
      <c r="S130" s="61"/>
      <c r="U130" s="116">
        <f t="shared" si="1"/>
        <v>2</v>
      </c>
      <c r="V130" s="117">
        <v>2</v>
      </c>
      <c r="W130" s="118">
        <v>0</v>
      </c>
      <c r="X130" s="116">
        <f t="shared" si="2"/>
        <v>2</v>
      </c>
      <c r="Y130" s="117">
        <v>2</v>
      </c>
      <c r="Z130" s="118">
        <v>0</v>
      </c>
      <c r="AA130" s="124">
        <v>1</v>
      </c>
      <c r="AB130" s="125">
        <v>1</v>
      </c>
      <c r="AC130" s="125">
        <v>0</v>
      </c>
      <c r="AD130" s="117">
        <v>0</v>
      </c>
      <c r="AE130" s="117">
        <v>0</v>
      </c>
      <c r="AF130" s="126" t="str">
        <f t="shared" si="0"/>
        <v>FDCIO221 - In/Output module (1I&amp;1O)</v>
      </c>
    </row>
    <row r="131" spans="1:32" hidden="1" outlineLevel="1" x14ac:dyDescent="0.25">
      <c r="A131" s="59"/>
      <c r="B131" s="121" t="s">
        <v>264</v>
      </c>
      <c r="C131" s="122">
        <v>0</v>
      </c>
      <c r="D131" s="113" t="s">
        <v>147</v>
      </c>
      <c r="E131" s="123">
        <v>0</v>
      </c>
      <c r="F131" s="115" t="s">
        <v>147</v>
      </c>
      <c r="G131" s="122">
        <v>0</v>
      </c>
      <c r="H131" s="113" t="s">
        <v>147</v>
      </c>
      <c r="I131" s="123">
        <v>0</v>
      </c>
      <c r="J131" s="115" t="s">
        <v>147</v>
      </c>
      <c r="K131" s="122">
        <v>0</v>
      </c>
      <c r="L131" s="113" t="s">
        <v>147</v>
      </c>
      <c r="M131" s="123">
        <v>0</v>
      </c>
      <c r="N131" s="115" t="s">
        <v>147</v>
      </c>
      <c r="O131" s="122">
        <v>0</v>
      </c>
      <c r="P131" s="113" t="s">
        <v>147</v>
      </c>
      <c r="Q131" s="123">
        <v>0</v>
      </c>
      <c r="R131" s="115" t="s">
        <v>147</v>
      </c>
      <c r="S131" s="61"/>
      <c r="U131" s="116">
        <f t="shared" si="1"/>
        <v>3</v>
      </c>
      <c r="V131" s="117">
        <v>3</v>
      </c>
      <c r="W131" s="118">
        <v>0</v>
      </c>
      <c r="X131" s="116">
        <f t="shared" si="2"/>
        <v>3</v>
      </c>
      <c r="Y131" s="117">
        <v>3</v>
      </c>
      <c r="Z131" s="118">
        <v>0</v>
      </c>
      <c r="AA131" s="124">
        <v>1</v>
      </c>
      <c r="AB131" s="125">
        <v>1</v>
      </c>
      <c r="AC131" s="125">
        <v>0</v>
      </c>
      <c r="AD131" s="117">
        <v>0</v>
      </c>
      <c r="AE131" s="117">
        <v>0</v>
      </c>
      <c r="AF131" s="126" t="str">
        <f t="shared" si="0"/>
        <v>FDCIO222 - In/Output module (4I&amp;4O)</v>
      </c>
    </row>
    <row r="132" spans="1:32" hidden="1" outlineLevel="1" x14ac:dyDescent="0.25">
      <c r="A132" s="59"/>
      <c r="B132" s="121" t="s">
        <v>788</v>
      </c>
      <c r="C132" s="122">
        <v>0</v>
      </c>
      <c r="D132" s="113" t="s">
        <v>147</v>
      </c>
      <c r="E132" s="123">
        <v>0</v>
      </c>
      <c r="F132" s="115" t="s">
        <v>147</v>
      </c>
      <c r="G132" s="122">
        <v>0</v>
      </c>
      <c r="H132" s="113" t="s">
        <v>147</v>
      </c>
      <c r="I132" s="123">
        <v>0</v>
      </c>
      <c r="J132" s="115" t="s">
        <v>147</v>
      </c>
      <c r="K132" s="122">
        <v>0</v>
      </c>
      <c r="L132" s="113" t="s">
        <v>147</v>
      </c>
      <c r="M132" s="123">
        <v>0</v>
      </c>
      <c r="N132" s="115" t="s">
        <v>147</v>
      </c>
      <c r="O132" s="122">
        <v>0</v>
      </c>
      <c r="P132" s="113" t="s">
        <v>147</v>
      </c>
      <c r="Q132" s="123">
        <v>0</v>
      </c>
      <c r="R132" s="115" t="s">
        <v>147</v>
      </c>
      <c r="S132" s="61"/>
      <c r="U132" s="116">
        <f t="shared" si="1"/>
        <v>3</v>
      </c>
      <c r="V132" s="117">
        <v>3</v>
      </c>
      <c r="W132" s="118">
        <v>0</v>
      </c>
      <c r="X132" s="116">
        <f t="shared" si="2"/>
        <v>3</v>
      </c>
      <c r="Y132" s="117">
        <v>3</v>
      </c>
      <c r="Z132" s="118">
        <v>0</v>
      </c>
      <c r="AA132" s="124">
        <v>1</v>
      </c>
      <c r="AB132" s="125">
        <v>1</v>
      </c>
      <c r="AC132" s="125">
        <v>0</v>
      </c>
      <c r="AD132" s="117">
        <v>0</v>
      </c>
      <c r="AE132" s="117">
        <v>0</v>
      </c>
      <c r="AF132" s="126" t="str">
        <f t="shared" si="0"/>
        <v>FDCIO224 - In/Output module (4I&amp;4O)</v>
      </c>
    </row>
    <row r="133" spans="1:32" hidden="1" outlineLevel="1" x14ac:dyDescent="0.25">
      <c r="A133" s="59"/>
      <c r="B133" s="121" t="s">
        <v>789</v>
      </c>
      <c r="C133" s="122">
        <v>0</v>
      </c>
      <c r="D133" s="113" t="s">
        <v>147</v>
      </c>
      <c r="E133" s="123">
        <v>0</v>
      </c>
      <c r="F133" s="115" t="s">
        <v>147</v>
      </c>
      <c r="G133" s="122">
        <v>0</v>
      </c>
      <c r="H133" s="113" t="s">
        <v>147</v>
      </c>
      <c r="I133" s="123">
        <v>0</v>
      </c>
      <c r="J133" s="115" t="s">
        <v>147</v>
      </c>
      <c r="K133" s="122">
        <v>0</v>
      </c>
      <c r="L133" s="113" t="s">
        <v>147</v>
      </c>
      <c r="M133" s="123">
        <v>0</v>
      </c>
      <c r="N133" s="115" t="s">
        <v>147</v>
      </c>
      <c r="O133" s="122">
        <v>0</v>
      </c>
      <c r="P133" s="113" t="s">
        <v>147</v>
      </c>
      <c r="Q133" s="123">
        <v>0</v>
      </c>
      <c r="R133" s="115" t="s">
        <v>147</v>
      </c>
      <c r="S133" s="61"/>
      <c r="U133" s="116">
        <f t="shared" si="1"/>
        <v>1</v>
      </c>
      <c r="V133" s="117">
        <v>1</v>
      </c>
      <c r="W133" s="118">
        <v>0</v>
      </c>
      <c r="X133" s="116">
        <f t="shared" si="2"/>
        <v>1</v>
      </c>
      <c r="Y133" s="117">
        <v>1</v>
      </c>
      <c r="Z133" s="118">
        <v>0</v>
      </c>
      <c r="AA133" s="124">
        <v>1</v>
      </c>
      <c r="AB133" s="125">
        <v>1</v>
      </c>
      <c r="AC133" s="125">
        <v>0</v>
      </c>
      <c r="AD133" s="117">
        <v>0</v>
      </c>
      <c r="AE133" s="117">
        <v>0</v>
      </c>
      <c r="AF133" s="126" t="str">
        <f t="shared" si="0"/>
        <v>FDCL221 - Line isolator</v>
      </c>
    </row>
    <row r="134" spans="1:32" hidden="1" outlineLevel="1" x14ac:dyDescent="0.25">
      <c r="A134" s="59"/>
      <c r="B134" s="121" t="s">
        <v>790</v>
      </c>
      <c r="C134" s="122">
        <v>0</v>
      </c>
      <c r="D134" s="113" t="s">
        <v>147</v>
      </c>
      <c r="E134" s="123">
        <v>0</v>
      </c>
      <c r="F134" s="115" t="s">
        <v>147</v>
      </c>
      <c r="G134" s="122">
        <v>0</v>
      </c>
      <c r="H134" s="113" t="s">
        <v>147</v>
      </c>
      <c r="I134" s="123">
        <v>0</v>
      </c>
      <c r="J134" s="115" t="s">
        <v>147</v>
      </c>
      <c r="K134" s="122">
        <v>0</v>
      </c>
      <c r="L134" s="113" t="s">
        <v>147</v>
      </c>
      <c r="M134" s="123">
        <v>0</v>
      </c>
      <c r="N134" s="115" t="s">
        <v>147</v>
      </c>
      <c r="O134" s="122">
        <v>0</v>
      </c>
      <c r="P134" s="113" t="s">
        <v>147</v>
      </c>
      <c r="Q134" s="123">
        <v>0</v>
      </c>
      <c r="R134" s="115" t="s">
        <v>147</v>
      </c>
      <c r="S134" s="61"/>
      <c r="U134" s="116">
        <f t="shared" si="1"/>
        <v>9</v>
      </c>
      <c r="V134" s="117">
        <v>9</v>
      </c>
      <c r="W134" s="118">
        <v>0</v>
      </c>
      <c r="X134" s="116">
        <f t="shared" si="2"/>
        <v>9</v>
      </c>
      <c r="Y134" s="117">
        <v>9</v>
      </c>
      <c r="Z134" s="118">
        <v>0</v>
      </c>
      <c r="AA134" s="124">
        <v>9</v>
      </c>
      <c r="AB134" s="125">
        <v>9</v>
      </c>
      <c r="AC134" s="125">
        <v>0</v>
      </c>
      <c r="AD134" s="117">
        <v>0</v>
      </c>
      <c r="AE134" s="117">
        <v>0</v>
      </c>
      <c r="AF134" s="126" t="str">
        <f t="shared" si="0"/>
        <v>FDCL221-M - Multi line isolator</v>
      </c>
    </row>
    <row r="135" spans="1:32" hidden="1" outlineLevel="1" x14ac:dyDescent="0.25">
      <c r="A135" s="59"/>
      <c r="B135" s="121" t="s">
        <v>791</v>
      </c>
      <c r="C135" s="122">
        <v>0</v>
      </c>
      <c r="D135" s="113" t="s">
        <v>147</v>
      </c>
      <c r="E135" s="123">
        <v>0</v>
      </c>
      <c r="F135" s="115" t="s">
        <v>147</v>
      </c>
      <c r="G135" s="122">
        <v>0</v>
      </c>
      <c r="H135" s="113" t="s">
        <v>147</v>
      </c>
      <c r="I135" s="123">
        <v>0</v>
      </c>
      <c r="J135" s="115" t="s">
        <v>147</v>
      </c>
      <c r="K135" s="122">
        <v>0</v>
      </c>
      <c r="L135" s="113" t="s">
        <v>147</v>
      </c>
      <c r="M135" s="123">
        <v>0</v>
      </c>
      <c r="N135" s="115" t="s">
        <v>147</v>
      </c>
      <c r="O135" s="122">
        <v>0</v>
      </c>
      <c r="P135" s="113" t="s">
        <v>147</v>
      </c>
      <c r="Q135" s="123">
        <v>0</v>
      </c>
      <c r="R135" s="115" t="s">
        <v>147</v>
      </c>
      <c r="S135" s="61"/>
      <c r="U135" s="116">
        <f t="shared" si="1"/>
        <v>3</v>
      </c>
      <c r="V135" s="117">
        <v>3</v>
      </c>
      <c r="W135" s="118">
        <v>0</v>
      </c>
      <c r="X135" s="116">
        <f t="shared" si="2"/>
        <v>3</v>
      </c>
      <c r="Y135" s="117">
        <v>3</v>
      </c>
      <c r="Z135" s="118">
        <v>0</v>
      </c>
      <c r="AA135" s="124">
        <v>1</v>
      </c>
      <c r="AB135" s="125">
        <v>1</v>
      </c>
      <c r="AC135" s="125">
        <v>0</v>
      </c>
      <c r="AD135" s="117">
        <v>0</v>
      </c>
      <c r="AE135" s="117">
        <v>0</v>
      </c>
      <c r="AF135" s="126" t="str">
        <f t="shared" si="0"/>
        <v>FDCI723 - Zone module, ext. powered (1 collective line)</v>
      </c>
    </row>
    <row r="136" spans="1:32" hidden="1" outlineLevel="1" x14ac:dyDescent="0.25">
      <c r="A136" s="59"/>
      <c r="B136" s="121" t="s">
        <v>792</v>
      </c>
      <c r="C136" s="122">
        <v>0</v>
      </c>
      <c r="D136" s="113" t="s">
        <v>147</v>
      </c>
      <c r="E136" s="123">
        <v>0</v>
      </c>
      <c r="F136" s="115" t="s">
        <v>147</v>
      </c>
      <c r="G136" s="122">
        <v>0</v>
      </c>
      <c r="H136" s="113" t="s">
        <v>147</v>
      </c>
      <c r="I136" s="123">
        <v>0</v>
      </c>
      <c r="J136" s="115" t="s">
        <v>147</v>
      </c>
      <c r="K136" s="122">
        <v>0</v>
      </c>
      <c r="L136" s="113" t="s">
        <v>147</v>
      </c>
      <c r="M136" s="123">
        <v>0</v>
      </c>
      <c r="N136" s="115" t="s">
        <v>147</v>
      </c>
      <c r="O136" s="122">
        <v>0</v>
      </c>
      <c r="P136" s="113" t="s">
        <v>147</v>
      </c>
      <c r="Q136" s="123">
        <v>0</v>
      </c>
      <c r="R136" s="115" t="s">
        <v>147</v>
      </c>
      <c r="S136" s="61"/>
      <c r="U136" s="116">
        <f t="shared" si="1"/>
        <v>2</v>
      </c>
      <c r="V136" s="117">
        <v>2</v>
      </c>
      <c r="W136" s="118">
        <v>0</v>
      </c>
      <c r="X136" s="116">
        <f t="shared" si="2"/>
        <v>2</v>
      </c>
      <c r="Y136" s="117">
        <v>2</v>
      </c>
      <c r="Z136" s="118">
        <v>0</v>
      </c>
      <c r="AA136" s="124">
        <v>1</v>
      </c>
      <c r="AB136" s="125">
        <v>1</v>
      </c>
      <c r="AC136" s="125">
        <v>0</v>
      </c>
      <c r="AD136" s="117">
        <v>0</v>
      </c>
      <c r="AE136" s="117">
        <v>0</v>
      </c>
      <c r="AF136" s="126" t="str">
        <f>B136</f>
        <v>FDCI361 - Input module</v>
      </c>
    </row>
    <row r="137" spans="1:32" hidden="1" outlineLevel="1" x14ac:dyDescent="0.25">
      <c r="A137" s="59"/>
      <c r="B137" s="121" t="s">
        <v>793</v>
      </c>
      <c r="C137" s="122">
        <v>0</v>
      </c>
      <c r="D137" s="115" t="s">
        <v>147</v>
      </c>
      <c r="E137" s="122">
        <v>0</v>
      </c>
      <c r="F137" s="138" t="s">
        <v>147</v>
      </c>
      <c r="G137" s="122">
        <v>0</v>
      </c>
      <c r="H137" s="138" t="s">
        <v>147</v>
      </c>
      <c r="I137" s="122">
        <v>0</v>
      </c>
      <c r="J137" s="138" t="s">
        <v>147</v>
      </c>
      <c r="K137" s="122">
        <v>0</v>
      </c>
      <c r="L137" s="138" t="s">
        <v>147</v>
      </c>
      <c r="M137" s="122">
        <v>0</v>
      </c>
      <c r="N137" s="138" t="s">
        <v>147</v>
      </c>
      <c r="O137" s="122">
        <v>0</v>
      </c>
      <c r="P137" s="138" t="s">
        <v>147</v>
      </c>
      <c r="Q137" s="122">
        <v>0</v>
      </c>
      <c r="R137" s="138" t="s">
        <v>147</v>
      </c>
      <c r="S137" s="61"/>
      <c r="U137" s="116">
        <f t="shared" si="1"/>
        <v>2</v>
      </c>
      <c r="V137" s="117">
        <v>2</v>
      </c>
      <c r="W137" s="118">
        <v>0</v>
      </c>
      <c r="X137" s="116">
        <f t="shared" si="2"/>
        <v>2</v>
      </c>
      <c r="Y137" s="117">
        <v>2</v>
      </c>
      <c r="Z137" s="118">
        <v>0</v>
      </c>
      <c r="AA137" s="124">
        <v>1</v>
      </c>
      <c r="AB137" s="125">
        <v>1</v>
      </c>
      <c r="AC137" s="125">
        <v>0</v>
      </c>
      <c r="AD137" s="117">
        <v>0</v>
      </c>
      <c r="AE137" s="117">
        <v>0</v>
      </c>
      <c r="AF137" s="126" t="str">
        <f t="shared" si="0"/>
        <v>FDCIO361 - Input/Output module</v>
      </c>
    </row>
    <row r="138" spans="1:32" hidden="1" x14ac:dyDescent="0.25">
      <c r="A138" s="59"/>
      <c r="B138" s="121"/>
      <c r="C138" s="122"/>
      <c r="D138" s="115"/>
      <c r="E138" s="122"/>
      <c r="F138" s="138"/>
      <c r="G138" s="122"/>
      <c r="H138" s="138"/>
      <c r="I138" s="122"/>
      <c r="J138" s="138"/>
      <c r="K138" s="122"/>
      <c r="L138" s="138"/>
      <c r="M138" s="122"/>
      <c r="N138" s="138"/>
      <c r="O138" s="122"/>
      <c r="P138" s="138"/>
      <c r="Q138" s="122"/>
      <c r="R138" s="138"/>
      <c r="S138" s="61"/>
      <c r="U138" s="143"/>
      <c r="V138" s="117"/>
      <c r="W138" s="139"/>
      <c r="X138" s="143"/>
      <c r="Y138" s="117"/>
      <c r="Z138" s="139"/>
      <c r="AA138" s="124"/>
      <c r="AB138" s="125"/>
      <c r="AC138" s="125"/>
      <c r="AD138" s="117"/>
      <c r="AE138" s="117"/>
      <c r="AF138" s="126">
        <f t="shared" si="0"/>
        <v>0</v>
      </c>
    </row>
    <row r="139" spans="1:32" hidden="1" x14ac:dyDescent="0.25">
      <c r="A139" s="59"/>
      <c r="B139" s="121"/>
      <c r="C139" s="122"/>
      <c r="D139" s="115"/>
      <c r="E139" s="122"/>
      <c r="F139" s="138"/>
      <c r="G139" s="122"/>
      <c r="H139" s="138"/>
      <c r="I139" s="122"/>
      <c r="J139" s="138"/>
      <c r="K139" s="122"/>
      <c r="L139" s="138"/>
      <c r="M139" s="122"/>
      <c r="N139" s="138"/>
      <c r="O139" s="122"/>
      <c r="P139" s="138"/>
      <c r="Q139" s="122"/>
      <c r="R139" s="138"/>
      <c r="S139" s="61"/>
      <c r="U139" s="143"/>
      <c r="V139" s="117"/>
      <c r="W139" s="139"/>
      <c r="X139" s="143"/>
      <c r="Y139" s="117"/>
      <c r="Z139" s="139"/>
      <c r="AA139" s="124"/>
      <c r="AB139" s="125"/>
      <c r="AC139" s="125"/>
      <c r="AD139" s="117"/>
      <c r="AE139" s="117"/>
      <c r="AF139" s="126">
        <f t="shared" si="0"/>
        <v>0</v>
      </c>
    </row>
    <row r="140" spans="1:32" hidden="1" x14ac:dyDescent="0.25">
      <c r="A140" s="59"/>
      <c r="B140" s="121"/>
      <c r="C140" s="122"/>
      <c r="D140" s="115"/>
      <c r="E140" s="122"/>
      <c r="F140" s="138"/>
      <c r="G140" s="122"/>
      <c r="H140" s="138"/>
      <c r="I140" s="122"/>
      <c r="J140" s="138"/>
      <c r="K140" s="122"/>
      <c r="L140" s="138"/>
      <c r="M140" s="122"/>
      <c r="N140" s="138"/>
      <c r="O140" s="122"/>
      <c r="P140" s="138"/>
      <c r="Q140" s="122"/>
      <c r="R140" s="138"/>
      <c r="S140" s="61"/>
      <c r="U140" s="143"/>
      <c r="V140" s="117"/>
      <c r="W140" s="139"/>
      <c r="X140" s="143"/>
      <c r="Y140" s="117"/>
      <c r="Z140" s="139"/>
      <c r="AA140" s="124"/>
      <c r="AB140" s="125"/>
      <c r="AC140" s="125"/>
      <c r="AD140" s="117"/>
      <c r="AE140" s="117"/>
      <c r="AF140" s="126">
        <f t="shared" si="0"/>
        <v>0</v>
      </c>
    </row>
    <row r="141" spans="1:32" hidden="1" x14ac:dyDescent="0.25">
      <c r="A141" s="59"/>
      <c r="B141" s="121"/>
      <c r="C141" s="122"/>
      <c r="D141" s="115"/>
      <c r="E141" s="122"/>
      <c r="F141" s="138"/>
      <c r="G141" s="122"/>
      <c r="H141" s="138"/>
      <c r="I141" s="122"/>
      <c r="J141" s="138"/>
      <c r="K141" s="122"/>
      <c r="L141" s="138"/>
      <c r="M141" s="122"/>
      <c r="N141" s="138"/>
      <c r="O141" s="122"/>
      <c r="P141" s="138"/>
      <c r="Q141" s="122"/>
      <c r="R141" s="138"/>
      <c r="S141" s="61"/>
      <c r="U141" s="143"/>
      <c r="V141" s="117"/>
      <c r="W141" s="139"/>
      <c r="X141" s="143"/>
      <c r="Y141" s="117"/>
      <c r="Z141" s="139"/>
      <c r="AA141" s="124"/>
      <c r="AB141" s="125"/>
      <c r="AC141" s="125"/>
      <c r="AD141" s="117"/>
      <c r="AE141" s="117"/>
      <c r="AF141" s="126">
        <f t="shared" si="0"/>
        <v>0</v>
      </c>
    </row>
    <row r="142" spans="1:32" hidden="1" x14ac:dyDescent="0.25">
      <c r="A142" s="59"/>
      <c r="B142" s="121"/>
      <c r="C142" s="122"/>
      <c r="D142" s="115"/>
      <c r="E142" s="122"/>
      <c r="F142" s="138"/>
      <c r="G142" s="122"/>
      <c r="H142" s="138"/>
      <c r="I142" s="122"/>
      <c r="J142" s="138"/>
      <c r="K142" s="122"/>
      <c r="L142" s="138"/>
      <c r="M142" s="122"/>
      <c r="N142" s="138"/>
      <c r="O142" s="122"/>
      <c r="P142" s="138"/>
      <c r="Q142" s="122"/>
      <c r="R142" s="138"/>
      <c r="S142" s="61"/>
      <c r="U142" s="143"/>
      <c r="V142" s="117"/>
      <c r="W142" s="139"/>
      <c r="X142" s="143"/>
      <c r="Y142" s="117"/>
      <c r="Z142" s="139"/>
      <c r="AA142" s="124"/>
      <c r="AB142" s="125"/>
      <c r="AC142" s="125"/>
      <c r="AD142" s="117"/>
      <c r="AE142" s="117"/>
      <c r="AF142" s="126">
        <f t="shared" si="0"/>
        <v>0</v>
      </c>
    </row>
    <row r="143" spans="1:32" hidden="1" x14ac:dyDescent="0.25">
      <c r="A143" s="59"/>
      <c r="B143" s="121"/>
      <c r="C143" s="122"/>
      <c r="D143" s="115"/>
      <c r="E143" s="122"/>
      <c r="F143" s="138"/>
      <c r="G143" s="122"/>
      <c r="H143" s="138"/>
      <c r="I143" s="122"/>
      <c r="J143" s="138"/>
      <c r="K143" s="122"/>
      <c r="L143" s="138"/>
      <c r="M143" s="122"/>
      <c r="N143" s="138"/>
      <c r="O143" s="122"/>
      <c r="P143" s="138"/>
      <c r="Q143" s="122"/>
      <c r="R143" s="138"/>
      <c r="S143" s="61"/>
      <c r="U143" s="143"/>
      <c r="V143" s="117"/>
      <c r="W143" s="139"/>
      <c r="X143" s="143"/>
      <c r="Y143" s="117"/>
      <c r="Z143" s="139"/>
      <c r="AA143" s="124"/>
      <c r="AB143" s="125"/>
      <c r="AC143" s="125"/>
      <c r="AD143" s="117"/>
      <c r="AE143" s="117"/>
      <c r="AF143" s="126">
        <f t="shared" si="0"/>
        <v>0</v>
      </c>
    </row>
    <row r="144" spans="1:32" hidden="1" x14ac:dyDescent="0.25">
      <c r="A144" s="59"/>
      <c r="B144" s="121"/>
      <c r="C144" s="122"/>
      <c r="D144" s="115"/>
      <c r="E144" s="122"/>
      <c r="F144" s="138"/>
      <c r="G144" s="122"/>
      <c r="H144" s="138"/>
      <c r="I144" s="122"/>
      <c r="J144" s="138"/>
      <c r="K144" s="122"/>
      <c r="L144" s="138"/>
      <c r="M144" s="122"/>
      <c r="N144" s="138"/>
      <c r="O144" s="122"/>
      <c r="P144" s="138"/>
      <c r="Q144" s="122"/>
      <c r="R144" s="138"/>
      <c r="S144" s="61"/>
      <c r="U144" s="143"/>
      <c r="V144" s="117"/>
      <c r="W144" s="139"/>
      <c r="X144" s="143"/>
      <c r="Y144" s="117"/>
      <c r="Z144" s="139"/>
      <c r="AA144" s="124"/>
      <c r="AB144" s="125"/>
      <c r="AC144" s="125"/>
      <c r="AD144" s="117"/>
      <c r="AE144" s="117"/>
      <c r="AF144" s="126">
        <f t="shared" si="0"/>
        <v>0</v>
      </c>
    </row>
    <row r="145" spans="1:32" hidden="1" x14ac:dyDescent="0.25">
      <c r="A145" s="59"/>
      <c r="B145" s="121"/>
      <c r="C145" s="122"/>
      <c r="D145" s="115"/>
      <c r="E145" s="122"/>
      <c r="F145" s="138"/>
      <c r="G145" s="122"/>
      <c r="H145" s="138"/>
      <c r="I145" s="122"/>
      <c r="J145" s="138"/>
      <c r="K145" s="122"/>
      <c r="L145" s="138"/>
      <c r="M145" s="122"/>
      <c r="N145" s="138"/>
      <c r="O145" s="122"/>
      <c r="P145" s="138"/>
      <c r="Q145" s="122"/>
      <c r="R145" s="138"/>
      <c r="S145" s="61"/>
      <c r="U145" s="143"/>
      <c r="V145" s="117"/>
      <c r="W145" s="139"/>
      <c r="X145" s="143"/>
      <c r="Y145" s="117"/>
      <c r="Z145" s="139"/>
      <c r="AA145" s="124"/>
      <c r="AB145" s="125"/>
      <c r="AC145" s="125"/>
      <c r="AD145" s="117"/>
      <c r="AE145" s="117"/>
      <c r="AF145" s="126">
        <f t="shared" si="0"/>
        <v>0</v>
      </c>
    </row>
    <row r="146" spans="1:32" ht="13" hidden="1" x14ac:dyDescent="0.25">
      <c r="A146" s="59"/>
      <c r="B146" s="664" t="s">
        <v>601</v>
      </c>
      <c r="C146" s="130"/>
      <c r="D146" s="130"/>
      <c r="E146" s="130"/>
      <c r="F146" s="130"/>
      <c r="G146" s="130"/>
      <c r="H146" s="130"/>
      <c r="I146" s="130"/>
      <c r="J146" s="130"/>
      <c r="K146" s="130"/>
      <c r="L146" s="130"/>
      <c r="M146" s="130"/>
      <c r="N146" s="130"/>
      <c r="O146" s="130"/>
      <c r="P146" s="130"/>
      <c r="Q146" s="130"/>
      <c r="R146" s="131"/>
      <c r="S146" s="94"/>
      <c r="U146" s="144"/>
      <c r="V146" s="133"/>
      <c r="W146" s="140"/>
      <c r="X146" s="144"/>
      <c r="Y146" s="133"/>
      <c r="Z146" s="140"/>
      <c r="AA146" s="135"/>
      <c r="AB146" s="136"/>
      <c r="AC146" s="136"/>
      <c r="AD146" s="136"/>
      <c r="AE146" s="136"/>
      <c r="AF146" s="137" t="str">
        <f t="shared" si="0"/>
        <v>Radio devices</v>
      </c>
    </row>
    <row r="147" spans="1:32" hidden="1" x14ac:dyDescent="0.25">
      <c r="A147" s="59"/>
      <c r="B147" s="121"/>
      <c r="C147" s="122"/>
      <c r="D147" s="113"/>
      <c r="E147" s="123"/>
      <c r="F147" s="115"/>
      <c r="G147" s="122"/>
      <c r="H147" s="113"/>
      <c r="I147" s="123"/>
      <c r="J147" s="115"/>
      <c r="K147" s="122"/>
      <c r="L147" s="113"/>
      <c r="M147" s="123"/>
      <c r="N147" s="115"/>
      <c r="O147" s="122"/>
      <c r="P147" s="113"/>
      <c r="Q147" s="123"/>
      <c r="R147" s="115"/>
      <c r="S147" s="61"/>
      <c r="U147" s="116"/>
      <c r="V147" s="117"/>
      <c r="W147" s="118"/>
      <c r="X147" s="116"/>
      <c r="Y147" s="117"/>
      <c r="Z147" s="118"/>
      <c r="AA147" s="124"/>
      <c r="AB147" s="125"/>
      <c r="AC147" s="125"/>
      <c r="AD147" s="117"/>
      <c r="AE147" s="117"/>
      <c r="AF147" s="126"/>
    </row>
    <row r="148" spans="1:32" hidden="1" x14ac:dyDescent="0.25">
      <c r="A148" s="59"/>
      <c r="B148" s="121"/>
      <c r="C148" s="122"/>
      <c r="D148" s="113"/>
      <c r="E148" s="123"/>
      <c r="F148" s="115"/>
      <c r="G148" s="122"/>
      <c r="H148" s="113"/>
      <c r="I148" s="123"/>
      <c r="J148" s="115"/>
      <c r="K148" s="122"/>
      <c r="L148" s="113"/>
      <c r="M148" s="123"/>
      <c r="N148" s="115"/>
      <c r="O148" s="122"/>
      <c r="P148" s="113"/>
      <c r="Q148" s="123"/>
      <c r="R148" s="115"/>
      <c r="S148" s="61"/>
      <c r="U148" s="116"/>
      <c r="V148" s="117"/>
      <c r="W148" s="118"/>
      <c r="X148" s="116"/>
      <c r="Y148" s="117"/>
      <c r="Z148" s="118"/>
      <c r="AA148" s="124"/>
      <c r="AB148" s="125"/>
      <c r="AC148" s="125"/>
      <c r="AD148" s="117"/>
      <c r="AE148" s="117"/>
      <c r="AF148" s="126"/>
    </row>
    <row r="149" spans="1:32" hidden="1" x14ac:dyDescent="0.25">
      <c r="A149" s="59"/>
      <c r="B149" s="121"/>
      <c r="C149" s="122"/>
      <c r="D149" s="113"/>
      <c r="E149" s="123"/>
      <c r="F149" s="115"/>
      <c r="G149" s="122"/>
      <c r="H149" s="113"/>
      <c r="I149" s="123"/>
      <c r="J149" s="115"/>
      <c r="K149" s="122"/>
      <c r="L149" s="113"/>
      <c r="M149" s="123"/>
      <c r="N149" s="115"/>
      <c r="O149" s="122"/>
      <c r="P149" s="113"/>
      <c r="Q149" s="123"/>
      <c r="R149" s="115"/>
      <c r="S149" s="61"/>
      <c r="U149" s="116"/>
      <c r="V149" s="117"/>
      <c r="W149" s="118"/>
      <c r="X149" s="116"/>
      <c r="Y149" s="117"/>
      <c r="Z149" s="118"/>
      <c r="AA149" s="124"/>
      <c r="AB149" s="125"/>
      <c r="AC149" s="125"/>
      <c r="AD149" s="117"/>
      <c r="AE149" s="117"/>
      <c r="AF149" s="126"/>
    </row>
    <row r="150" spans="1:32" hidden="1" x14ac:dyDescent="0.25">
      <c r="A150" s="59"/>
      <c r="B150" s="121"/>
      <c r="C150" s="122"/>
      <c r="D150" s="113"/>
      <c r="E150" s="123"/>
      <c r="F150" s="115"/>
      <c r="G150" s="122"/>
      <c r="H150" s="113"/>
      <c r="I150" s="123"/>
      <c r="J150" s="115"/>
      <c r="K150" s="122"/>
      <c r="L150" s="113"/>
      <c r="M150" s="123"/>
      <c r="N150" s="115"/>
      <c r="O150" s="122"/>
      <c r="P150" s="113"/>
      <c r="Q150" s="123"/>
      <c r="R150" s="115"/>
      <c r="S150" s="61"/>
      <c r="U150" s="116"/>
      <c r="V150" s="117"/>
      <c r="W150" s="118"/>
      <c r="X150" s="116"/>
      <c r="Y150" s="117"/>
      <c r="Z150" s="118"/>
      <c r="AA150" s="124"/>
      <c r="AB150" s="125"/>
      <c r="AC150" s="125"/>
      <c r="AD150" s="117"/>
      <c r="AE150" s="117"/>
      <c r="AF150" s="126"/>
    </row>
    <row r="151" spans="1:32" hidden="1" x14ac:dyDescent="0.25">
      <c r="A151" s="59"/>
      <c r="B151" s="121"/>
      <c r="C151" s="122"/>
      <c r="D151" s="113"/>
      <c r="E151" s="123"/>
      <c r="F151" s="115"/>
      <c r="G151" s="122"/>
      <c r="H151" s="113"/>
      <c r="I151" s="123"/>
      <c r="J151" s="115"/>
      <c r="K151" s="122"/>
      <c r="L151" s="113"/>
      <c r="M151" s="123"/>
      <c r="N151" s="115"/>
      <c r="O151" s="122"/>
      <c r="P151" s="113"/>
      <c r="Q151" s="123"/>
      <c r="R151" s="115"/>
      <c r="S151" s="61"/>
      <c r="U151" s="116"/>
      <c r="V151" s="117"/>
      <c r="W151" s="118"/>
      <c r="X151" s="116"/>
      <c r="Y151" s="117"/>
      <c r="Z151" s="118"/>
      <c r="AA151" s="124"/>
      <c r="AB151" s="125"/>
      <c r="AC151" s="125"/>
      <c r="AD151" s="117"/>
      <c r="AE151" s="117"/>
      <c r="AF151" s="126"/>
    </row>
    <row r="152" spans="1:32" hidden="1" x14ac:dyDescent="0.25">
      <c r="A152" s="59"/>
      <c r="B152" s="121"/>
      <c r="C152" s="122"/>
      <c r="D152" s="115"/>
      <c r="E152" s="122"/>
      <c r="F152" s="138"/>
      <c r="G152" s="122"/>
      <c r="H152" s="138"/>
      <c r="I152" s="122"/>
      <c r="J152" s="138"/>
      <c r="K152" s="122"/>
      <c r="L152" s="138"/>
      <c r="M152" s="122"/>
      <c r="N152" s="138"/>
      <c r="O152" s="122"/>
      <c r="P152" s="138"/>
      <c r="Q152" s="122"/>
      <c r="R152" s="138"/>
      <c r="S152" s="61"/>
      <c r="U152" s="143"/>
      <c r="V152" s="117"/>
      <c r="W152" s="118"/>
      <c r="X152" s="143"/>
      <c r="Y152" s="117"/>
      <c r="Z152" s="118"/>
      <c r="AA152" s="124"/>
      <c r="AB152" s="125"/>
      <c r="AC152" s="125"/>
      <c r="AD152" s="117"/>
      <c r="AE152" s="117"/>
      <c r="AF152" s="126">
        <f t="shared" ref="AF152:AF215" si="3">B152</f>
        <v>0</v>
      </c>
    </row>
    <row r="153" spans="1:32" hidden="1" x14ac:dyDescent="0.25">
      <c r="A153" s="59"/>
      <c r="B153" s="121"/>
      <c r="C153" s="122"/>
      <c r="D153" s="115"/>
      <c r="E153" s="122"/>
      <c r="F153" s="138"/>
      <c r="G153" s="122"/>
      <c r="H153" s="138"/>
      <c r="I153" s="122"/>
      <c r="J153" s="138"/>
      <c r="K153" s="122"/>
      <c r="L153" s="138"/>
      <c r="M153" s="122"/>
      <c r="N153" s="138"/>
      <c r="O153" s="122"/>
      <c r="P153" s="138"/>
      <c r="Q153" s="122"/>
      <c r="R153" s="138"/>
      <c r="S153" s="61"/>
      <c r="U153" s="143"/>
      <c r="V153" s="117"/>
      <c r="W153" s="118"/>
      <c r="X153" s="143"/>
      <c r="Y153" s="117"/>
      <c r="Z153" s="118"/>
      <c r="AA153" s="124"/>
      <c r="AB153" s="125"/>
      <c r="AC153" s="125"/>
      <c r="AD153" s="117"/>
      <c r="AE153" s="117"/>
      <c r="AF153" s="126">
        <f t="shared" si="3"/>
        <v>0</v>
      </c>
    </row>
    <row r="154" spans="1:32" hidden="1" x14ac:dyDescent="0.25">
      <c r="A154" s="59"/>
      <c r="B154" s="121"/>
      <c r="C154" s="122"/>
      <c r="D154" s="115"/>
      <c r="E154" s="122"/>
      <c r="F154" s="138"/>
      <c r="G154" s="122"/>
      <c r="H154" s="138"/>
      <c r="I154" s="122"/>
      <c r="J154" s="138"/>
      <c r="K154" s="122"/>
      <c r="L154" s="138"/>
      <c r="M154" s="122"/>
      <c r="N154" s="138"/>
      <c r="O154" s="122"/>
      <c r="P154" s="138"/>
      <c r="Q154" s="122"/>
      <c r="R154" s="138"/>
      <c r="S154" s="61"/>
      <c r="U154" s="143"/>
      <c r="V154" s="117"/>
      <c r="W154" s="118"/>
      <c r="X154" s="143"/>
      <c r="Y154" s="117"/>
      <c r="Z154" s="118"/>
      <c r="AA154" s="124"/>
      <c r="AB154" s="125"/>
      <c r="AC154" s="125"/>
      <c r="AD154" s="117"/>
      <c r="AE154" s="117"/>
      <c r="AF154" s="126">
        <f t="shared" si="3"/>
        <v>0</v>
      </c>
    </row>
    <row r="155" spans="1:32" hidden="1" x14ac:dyDescent="0.25">
      <c r="A155" s="59"/>
      <c r="B155" s="121"/>
      <c r="C155" s="122"/>
      <c r="D155" s="115"/>
      <c r="E155" s="122"/>
      <c r="F155" s="138"/>
      <c r="G155" s="122"/>
      <c r="H155" s="138"/>
      <c r="I155" s="122"/>
      <c r="J155" s="138"/>
      <c r="K155" s="122"/>
      <c r="L155" s="138"/>
      <c r="M155" s="122"/>
      <c r="N155" s="138"/>
      <c r="O155" s="122"/>
      <c r="P155" s="138"/>
      <c r="Q155" s="122"/>
      <c r="R155" s="138"/>
      <c r="S155" s="61"/>
      <c r="U155" s="143"/>
      <c r="V155" s="117"/>
      <c r="W155" s="118"/>
      <c r="X155" s="143"/>
      <c r="Y155" s="117"/>
      <c r="Z155" s="118"/>
      <c r="AA155" s="124"/>
      <c r="AB155" s="125"/>
      <c r="AC155" s="125"/>
      <c r="AD155" s="117"/>
      <c r="AE155" s="117"/>
      <c r="AF155" s="126">
        <f t="shared" si="3"/>
        <v>0</v>
      </c>
    </row>
    <row r="156" spans="1:32" hidden="1" x14ac:dyDescent="0.25">
      <c r="A156" s="59"/>
      <c r="B156" s="121"/>
      <c r="C156" s="122"/>
      <c r="D156" s="115"/>
      <c r="E156" s="122"/>
      <c r="F156" s="138"/>
      <c r="G156" s="122"/>
      <c r="H156" s="138"/>
      <c r="I156" s="122"/>
      <c r="J156" s="138"/>
      <c r="K156" s="122"/>
      <c r="L156" s="138"/>
      <c r="M156" s="122"/>
      <c r="N156" s="138"/>
      <c r="O156" s="122"/>
      <c r="P156" s="138"/>
      <c r="Q156" s="122"/>
      <c r="R156" s="138"/>
      <c r="S156" s="61"/>
      <c r="U156" s="143"/>
      <c r="V156" s="117"/>
      <c r="W156" s="118"/>
      <c r="X156" s="143"/>
      <c r="Y156" s="117"/>
      <c r="Z156" s="118"/>
      <c r="AA156" s="124"/>
      <c r="AB156" s="125"/>
      <c r="AC156" s="125"/>
      <c r="AD156" s="117"/>
      <c r="AE156" s="117"/>
      <c r="AF156" s="126">
        <f t="shared" si="3"/>
        <v>0</v>
      </c>
    </row>
    <row r="157" spans="1:32" hidden="1" x14ac:dyDescent="0.25">
      <c r="A157" s="59"/>
      <c r="B157" s="121"/>
      <c r="C157" s="122"/>
      <c r="D157" s="115"/>
      <c r="E157" s="122"/>
      <c r="F157" s="138"/>
      <c r="G157" s="122"/>
      <c r="H157" s="138"/>
      <c r="I157" s="122"/>
      <c r="J157" s="138"/>
      <c r="K157" s="122"/>
      <c r="L157" s="138"/>
      <c r="M157" s="122"/>
      <c r="N157" s="138"/>
      <c r="O157" s="122"/>
      <c r="P157" s="138"/>
      <c r="Q157" s="122"/>
      <c r="R157" s="138"/>
      <c r="S157" s="61"/>
      <c r="U157" s="143"/>
      <c r="V157" s="117"/>
      <c r="W157" s="118"/>
      <c r="X157" s="143"/>
      <c r="Y157" s="117"/>
      <c r="Z157" s="118"/>
      <c r="AA157" s="124"/>
      <c r="AB157" s="125"/>
      <c r="AC157" s="125"/>
      <c r="AD157" s="117"/>
      <c r="AE157" s="117"/>
      <c r="AF157" s="126">
        <f t="shared" si="3"/>
        <v>0</v>
      </c>
    </row>
    <row r="158" spans="1:32" hidden="1" x14ac:dyDescent="0.25">
      <c r="A158" s="59"/>
      <c r="B158" s="121"/>
      <c r="C158" s="122"/>
      <c r="D158" s="115"/>
      <c r="E158" s="122"/>
      <c r="F158" s="138"/>
      <c r="G158" s="122"/>
      <c r="H158" s="138"/>
      <c r="I158" s="122"/>
      <c r="J158" s="138"/>
      <c r="K158" s="122"/>
      <c r="L158" s="138"/>
      <c r="M158" s="122"/>
      <c r="N158" s="138"/>
      <c r="O158" s="122"/>
      <c r="P158" s="138"/>
      <c r="Q158" s="122"/>
      <c r="R158" s="138"/>
      <c r="S158" s="61"/>
      <c r="U158" s="143"/>
      <c r="V158" s="117"/>
      <c r="W158" s="118"/>
      <c r="X158" s="143"/>
      <c r="Y158" s="117"/>
      <c r="Z158" s="118"/>
      <c r="AA158" s="124"/>
      <c r="AB158" s="125"/>
      <c r="AC158" s="125"/>
      <c r="AD158" s="117"/>
      <c r="AE158" s="117"/>
      <c r="AF158" s="126">
        <f t="shared" si="3"/>
        <v>0</v>
      </c>
    </row>
    <row r="159" spans="1:32" hidden="1" x14ac:dyDescent="0.25">
      <c r="A159" s="59"/>
      <c r="B159" s="121"/>
      <c r="C159" s="122"/>
      <c r="D159" s="115"/>
      <c r="E159" s="122"/>
      <c r="F159" s="138"/>
      <c r="G159" s="122"/>
      <c r="H159" s="138"/>
      <c r="I159" s="122"/>
      <c r="J159" s="138"/>
      <c r="K159" s="122"/>
      <c r="L159" s="138"/>
      <c r="M159" s="122"/>
      <c r="N159" s="138"/>
      <c r="O159" s="122"/>
      <c r="P159" s="138"/>
      <c r="Q159" s="122"/>
      <c r="R159" s="138"/>
      <c r="S159" s="61"/>
      <c r="U159" s="143"/>
      <c r="V159" s="117"/>
      <c r="W159" s="118"/>
      <c r="X159" s="143"/>
      <c r="Y159" s="117"/>
      <c r="Z159" s="118"/>
      <c r="AA159" s="124"/>
      <c r="AB159" s="125"/>
      <c r="AC159" s="125"/>
      <c r="AD159" s="117"/>
      <c r="AE159" s="117"/>
      <c r="AF159" s="126">
        <f t="shared" si="3"/>
        <v>0</v>
      </c>
    </row>
    <row r="160" spans="1:32" hidden="1" x14ac:dyDescent="0.25">
      <c r="A160" s="59"/>
      <c r="B160" s="121"/>
      <c r="C160" s="122"/>
      <c r="D160" s="115"/>
      <c r="E160" s="122"/>
      <c r="F160" s="138"/>
      <c r="G160" s="122"/>
      <c r="H160" s="138"/>
      <c r="I160" s="122"/>
      <c r="J160" s="138"/>
      <c r="K160" s="122"/>
      <c r="L160" s="138"/>
      <c r="M160" s="122"/>
      <c r="N160" s="138"/>
      <c r="O160" s="122"/>
      <c r="P160" s="138"/>
      <c r="Q160" s="122"/>
      <c r="R160" s="138"/>
      <c r="S160" s="61"/>
      <c r="U160" s="143"/>
      <c r="V160" s="117"/>
      <c r="W160" s="118"/>
      <c r="X160" s="143"/>
      <c r="Y160" s="117"/>
      <c r="Z160" s="118"/>
      <c r="AA160" s="124"/>
      <c r="AB160" s="125"/>
      <c r="AC160" s="125"/>
      <c r="AD160" s="117"/>
      <c r="AE160" s="117"/>
      <c r="AF160" s="126">
        <f t="shared" si="3"/>
        <v>0</v>
      </c>
    </row>
    <row r="161" spans="1:32" hidden="1" x14ac:dyDescent="0.25">
      <c r="A161" s="59"/>
      <c r="B161" s="121"/>
      <c r="C161" s="122"/>
      <c r="D161" s="115"/>
      <c r="E161" s="122"/>
      <c r="F161" s="138"/>
      <c r="G161" s="122"/>
      <c r="H161" s="138"/>
      <c r="I161" s="122"/>
      <c r="J161" s="138"/>
      <c r="K161" s="122"/>
      <c r="L161" s="138"/>
      <c r="M161" s="122"/>
      <c r="N161" s="138"/>
      <c r="O161" s="122"/>
      <c r="P161" s="138"/>
      <c r="Q161" s="122"/>
      <c r="R161" s="138"/>
      <c r="S161" s="61"/>
      <c r="U161" s="143"/>
      <c r="V161" s="117"/>
      <c r="W161" s="118"/>
      <c r="X161" s="143"/>
      <c r="Y161" s="117"/>
      <c r="Z161" s="118"/>
      <c r="AA161" s="124"/>
      <c r="AB161" s="125"/>
      <c r="AC161" s="125"/>
      <c r="AD161" s="117"/>
      <c r="AE161" s="117"/>
      <c r="AF161" s="126">
        <f t="shared" si="3"/>
        <v>0</v>
      </c>
    </row>
    <row r="162" spans="1:32" ht="13" hidden="1" x14ac:dyDescent="0.25">
      <c r="A162" s="59"/>
      <c r="B162" s="664" t="s">
        <v>602</v>
      </c>
      <c r="C162" s="130"/>
      <c r="D162" s="130"/>
      <c r="E162" s="130"/>
      <c r="F162" s="130"/>
      <c r="G162" s="130"/>
      <c r="H162" s="130"/>
      <c r="I162" s="130"/>
      <c r="J162" s="130"/>
      <c r="K162" s="130"/>
      <c r="L162" s="130"/>
      <c r="M162" s="130"/>
      <c r="N162" s="130"/>
      <c r="O162" s="130"/>
      <c r="P162" s="130"/>
      <c r="Q162" s="130"/>
      <c r="R162" s="131"/>
      <c r="S162" s="94"/>
      <c r="U162" s="145"/>
      <c r="V162" s="133"/>
      <c r="W162" s="134"/>
      <c r="X162" s="144"/>
      <c r="Y162" s="133"/>
      <c r="Z162" s="134"/>
      <c r="AA162" s="135"/>
      <c r="AB162" s="136"/>
      <c r="AC162" s="136"/>
      <c r="AD162" s="136"/>
      <c r="AE162" s="136"/>
      <c r="AF162" s="137" t="str">
        <f t="shared" si="3"/>
        <v>Integrated modules</v>
      </c>
    </row>
    <row r="163" spans="1:32" hidden="1" x14ac:dyDescent="0.25">
      <c r="A163" s="59"/>
      <c r="B163" s="121"/>
      <c r="C163" s="122"/>
      <c r="D163" s="113"/>
      <c r="E163" s="123"/>
      <c r="F163" s="115"/>
      <c r="G163" s="122"/>
      <c r="H163" s="113"/>
      <c r="I163" s="123"/>
      <c r="J163" s="115"/>
      <c r="K163" s="122"/>
      <c r="L163" s="113"/>
      <c r="M163" s="123"/>
      <c r="N163" s="115"/>
      <c r="O163" s="122"/>
      <c r="P163" s="113"/>
      <c r="Q163" s="123"/>
      <c r="R163" s="115"/>
      <c r="S163" s="61"/>
      <c r="U163" s="116"/>
      <c r="V163" s="117"/>
      <c r="W163" s="118"/>
      <c r="X163" s="116"/>
      <c r="Y163" s="117"/>
      <c r="Z163" s="118"/>
      <c r="AA163" s="124"/>
      <c r="AB163" s="125"/>
      <c r="AC163" s="125"/>
      <c r="AD163" s="117"/>
      <c r="AE163" s="117"/>
      <c r="AF163" s="126"/>
    </row>
    <row r="164" spans="1:32" hidden="1" x14ac:dyDescent="0.25">
      <c r="A164" s="59"/>
      <c r="B164" s="121"/>
      <c r="C164" s="122"/>
      <c r="D164" s="113"/>
      <c r="E164" s="123"/>
      <c r="F164" s="115"/>
      <c r="G164" s="122"/>
      <c r="H164" s="113"/>
      <c r="I164" s="123"/>
      <c r="J164" s="115"/>
      <c r="K164" s="122"/>
      <c r="L164" s="113"/>
      <c r="M164" s="123"/>
      <c r="N164" s="115"/>
      <c r="O164" s="122"/>
      <c r="P164" s="113"/>
      <c r="Q164" s="123"/>
      <c r="R164" s="115"/>
      <c r="S164" s="61"/>
      <c r="U164" s="116"/>
      <c r="V164" s="117"/>
      <c r="W164" s="118"/>
      <c r="X164" s="116"/>
      <c r="Y164" s="117"/>
      <c r="Z164" s="118"/>
      <c r="AA164" s="124"/>
      <c r="AB164" s="125"/>
      <c r="AC164" s="125"/>
      <c r="AD164" s="117"/>
      <c r="AE164" s="117"/>
      <c r="AF164" s="126"/>
    </row>
    <row r="165" spans="1:32" hidden="1" x14ac:dyDescent="0.25">
      <c r="A165" s="59"/>
      <c r="B165" s="121"/>
      <c r="C165" s="122"/>
      <c r="D165" s="115"/>
      <c r="E165" s="122"/>
      <c r="F165" s="138"/>
      <c r="G165" s="122"/>
      <c r="H165" s="138"/>
      <c r="I165" s="122"/>
      <c r="J165" s="138"/>
      <c r="K165" s="122"/>
      <c r="L165" s="138"/>
      <c r="M165" s="122"/>
      <c r="N165" s="138"/>
      <c r="O165" s="122"/>
      <c r="P165" s="138"/>
      <c r="Q165" s="122"/>
      <c r="R165" s="138"/>
      <c r="S165" s="61"/>
      <c r="U165" s="143"/>
      <c r="V165" s="117"/>
      <c r="X165" s="143"/>
      <c r="Y165" s="117"/>
      <c r="AA165" s="124"/>
      <c r="AB165" s="125"/>
      <c r="AC165" s="125"/>
      <c r="AD165" s="117"/>
      <c r="AE165" s="117"/>
      <c r="AF165" s="126">
        <f t="shared" si="3"/>
        <v>0</v>
      </c>
    </row>
    <row r="166" spans="1:32" hidden="1" x14ac:dyDescent="0.25">
      <c r="A166" s="59"/>
      <c r="B166" s="121"/>
      <c r="C166" s="122"/>
      <c r="D166" s="115"/>
      <c r="E166" s="122"/>
      <c r="F166" s="138"/>
      <c r="G166" s="122"/>
      <c r="H166" s="138"/>
      <c r="I166" s="122"/>
      <c r="J166" s="138"/>
      <c r="K166" s="122"/>
      <c r="L166" s="138"/>
      <c r="M166" s="122"/>
      <c r="N166" s="138"/>
      <c r="O166" s="122"/>
      <c r="P166" s="138"/>
      <c r="Q166" s="122"/>
      <c r="R166" s="138"/>
      <c r="S166" s="61"/>
      <c r="U166" s="143"/>
      <c r="V166" s="117"/>
      <c r="X166" s="143"/>
      <c r="Y166" s="117"/>
      <c r="AA166" s="124"/>
      <c r="AB166" s="125"/>
      <c r="AC166" s="125"/>
      <c r="AD166" s="117"/>
      <c r="AE166" s="117"/>
      <c r="AF166" s="126">
        <f t="shared" si="3"/>
        <v>0</v>
      </c>
    </row>
    <row r="167" spans="1:32" hidden="1" x14ac:dyDescent="0.25">
      <c r="A167" s="59"/>
      <c r="B167" s="121"/>
      <c r="C167" s="122"/>
      <c r="D167" s="115"/>
      <c r="E167" s="122"/>
      <c r="F167" s="138"/>
      <c r="G167" s="122"/>
      <c r="H167" s="138"/>
      <c r="I167" s="122"/>
      <c r="J167" s="138"/>
      <c r="K167" s="122"/>
      <c r="L167" s="138"/>
      <c r="M167" s="122"/>
      <c r="N167" s="138"/>
      <c r="O167" s="122"/>
      <c r="P167" s="138"/>
      <c r="Q167" s="122"/>
      <c r="R167" s="138"/>
      <c r="S167" s="61"/>
      <c r="U167" s="143"/>
      <c r="V167" s="117"/>
      <c r="X167" s="143"/>
      <c r="Y167" s="117"/>
      <c r="AA167" s="124"/>
      <c r="AB167" s="125"/>
      <c r="AC167" s="125"/>
      <c r="AD167" s="117"/>
      <c r="AE167" s="117"/>
      <c r="AF167" s="126">
        <f t="shared" si="3"/>
        <v>0</v>
      </c>
    </row>
    <row r="168" spans="1:32" hidden="1" x14ac:dyDescent="0.25">
      <c r="A168" s="59"/>
      <c r="B168" s="121"/>
      <c r="C168" s="122"/>
      <c r="D168" s="115"/>
      <c r="E168" s="122"/>
      <c r="F168" s="138"/>
      <c r="G168" s="122"/>
      <c r="H168" s="138"/>
      <c r="I168" s="122"/>
      <c r="J168" s="138"/>
      <c r="K168" s="122"/>
      <c r="L168" s="138"/>
      <c r="M168" s="122"/>
      <c r="N168" s="138"/>
      <c r="O168" s="122"/>
      <c r="P168" s="138"/>
      <c r="Q168" s="122"/>
      <c r="R168" s="138"/>
      <c r="S168" s="61"/>
      <c r="U168" s="143"/>
      <c r="V168" s="117"/>
      <c r="X168" s="143"/>
      <c r="Y168" s="117"/>
      <c r="AA168" s="124"/>
      <c r="AB168" s="125"/>
      <c r="AC168" s="125"/>
      <c r="AD168" s="117"/>
      <c r="AE168" s="117"/>
      <c r="AF168" s="126">
        <f t="shared" si="3"/>
        <v>0</v>
      </c>
    </row>
    <row r="169" spans="1:32" hidden="1" x14ac:dyDescent="0.25">
      <c r="A169" s="59"/>
      <c r="B169" s="121"/>
      <c r="C169" s="122"/>
      <c r="D169" s="115"/>
      <c r="E169" s="122"/>
      <c r="F169" s="138"/>
      <c r="G169" s="122"/>
      <c r="H169" s="138"/>
      <c r="I169" s="122"/>
      <c r="J169" s="138"/>
      <c r="K169" s="122"/>
      <c r="L169" s="138"/>
      <c r="M169" s="122"/>
      <c r="N169" s="138"/>
      <c r="O169" s="122"/>
      <c r="P169" s="138"/>
      <c r="Q169" s="122"/>
      <c r="R169" s="138"/>
      <c r="S169" s="61"/>
      <c r="U169" s="143"/>
      <c r="V169" s="117"/>
      <c r="X169" s="143"/>
      <c r="Y169" s="117"/>
      <c r="AA169" s="124"/>
      <c r="AB169" s="125"/>
      <c r="AC169" s="125"/>
      <c r="AD169" s="117"/>
      <c r="AE169" s="117"/>
      <c r="AF169" s="126">
        <f t="shared" si="3"/>
        <v>0</v>
      </c>
    </row>
    <row r="170" spans="1:32" hidden="1" x14ac:dyDescent="0.25">
      <c r="A170" s="59"/>
      <c r="B170" s="121"/>
      <c r="C170" s="122"/>
      <c r="D170" s="115"/>
      <c r="E170" s="122"/>
      <c r="F170" s="138"/>
      <c r="G170" s="122"/>
      <c r="H170" s="138"/>
      <c r="I170" s="122"/>
      <c r="J170" s="138"/>
      <c r="K170" s="122"/>
      <c r="L170" s="138"/>
      <c r="M170" s="122"/>
      <c r="N170" s="138"/>
      <c r="O170" s="122"/>
      <c r="P170" s="138"/>
      <c r="Q170" s="122"/>
      <c r="R170" s="138"/>
      <c r="S170" s="61"/>
      <c r="U170" s="143"/>
      <c r="V170" s="117"/>
      <c r="X170" s="143"/>
      <c r="Y170" s="117"/>
      <c r="AA170" s="124"/>
      <c r="AB170" s="125"/>
      <c r="AC170" s="125"/>
      <c r="AD170" s="117"/>
      <c r="AE170" s="117"/>
      <c r="AF170" s="126">
        <f t="shared" si="3"/>
        <v>0</v>
      </c>
    </row>
    <row r="171" spans="1:32" hidden="1" x14ac:dyDescent="0.25">
      <c r="A171" s="59"/>
      <c r="B171" s="121"/>
      <c r="C171" s="122"/>
      <c r="D171" s="115"/>
      <c r="E171" s="122"/>
      <c r="F171" s="138"/>
      <c r="G171" s="122"/>
      <c r="H171" s="138"/>
      <c r="I171" s="122"/>
      <c r="J171" s="138"/>
      <c r="K171" s="122"/>
      <c r="L171" s="138"/>
      <c r="M171" s="122"/>
      <c r="N171" s="138"/>
      <c r="O171" s="122"/>
      <c r="P171" s="138"/>
      <c r="Q171" s="122"/>
      <c r="R171" s="138"/>
      <c r="S171" s="61"/>
      <c r="U171" s="143"/>
      <c r="V171" s="117"/>
      <c r="X171" s="143"/>
      <c r="Y171" s="117"/>
      <c r="AA171" s="124"/>
      <c r="AB171" s="125"/>
      <c r="AC171" s="125"/>
      <c r="AD171" s="117"/>
      <c r="AE171" s="117"/>
      <c r="AF171" s="126">
        <f t="shared" si="3"/>
        <v>0</v>
      </c>
    </row>
    <row r="172" spans="1:32" hidden="1" x14ac:dyDescent="0.25">
      <c r="A172" s="59"/>
      <c r="B172" s="121"/>
      <c r="C172" s="122"/>
      <c r="D172" s="115"/>
      <c r="E172" s="122"/>
      <c r="F172" s="138"/>
      <c r="G172" s="122"/>
      <c r="H172" s="138"/>
      <c r="I172" s="122"/>
      <c r="J172" s="138"/>
      <c r="K172" s="122"/>
      <c r="L172" s="138"/>
      <c r="M172" s="122"/>
      <c r="N172" s="138"/>
      <c r="O172" s="122"/>
      <c r="P172" s="138"/>
      <c r="Q172" s="122"/>
      <c r="R172" s="138"/>
      <c r="S172" s="61"/>
      <c r="U172" s="143"/>
      <c r="V172" s="117"/>
      <c r="X172" s="143"/>
      <c r="Y172" s="117"/>
      <c r="AA172" s="124"/>
      <c r="AB172" s="125"/>
      <c r="AC172" s="125"/>
      <c r="AD172" s="117"/>
      <c r="AE172" s="117"/>
      <c r="AF172" s="126">
        <f t="shared" si="3"/>
        <v>0</v>
      </c>
    </row>
    <row r="173" spans="1:32" hidden="1" x14ac:dyDescent="0.25">
      <c r="A173" s="59"/>
      <c r="B173" s="121"/>
      <c r="C173" s="122"/>
      <c r="D173" s="115"/>
      <c r="E173" s="122"/>
      <c r="F173" s="138"/>
      <c r="G173" s="122"/>
      <c r="H173" s="138"/>
      <c r="I173" s="122"/>
      <c r="J173" s="138"/>
      <c r="K173" s="122"/>
      <c r="L173" s="138"/>
      <c r="M173" s="122"/>
      <c r="N173" s="138"/>
      <c r="O173" s="122"/>
      <c r="P173" s="138"/>
      <c r="Q173" s="122"/>
      <c r="R173" s="138"/>
      <c r="S173" s="61"/>
      <c r="U173" s="143"/>
      <c r="V173" s="117"/>
      <c r="X173" s="143"/>
      <c r="Y173" s="117"/>
      <c r="AA173" s="124"/>
      <c r="AB173" s="125"/>
      <c r="AC173" s="125"/>
      <c r="AD173" s="117"/>
      <c r="AE173" s="117"/>
      <c r="AF173" s="126">
        <f t="shared" si="3"/>
        <v>0</v>
      </c>
    </row>
    <row r="174" spans="1:32" hidden="1" x14ac:dyDescent="0.25">
      <c r="A174" s="59"/>
      <c r="B174" s="121"/>
      <c r="C174" s="122"/>
      <c r="D174" s="115"/>
      <c r="E174" s="122"/>
      <c r="F174" s="138"/>
      <c r="G174" s="122"/>
      <c r="H174" s="138"/>
      <c r="I174" s="122"/>
      <c r="J174" s="138"/>
      <c r="K174" s="122"/>
      <c r="L174" s="138"/>
      <c r="M174" s="122"/>
      <c r="N174" s="138"/>
      <c r="O174" s="122"/>
      <c r="P174" s="138"/>
      <c r="Q174" s="122"/>
      <c r="R174" s="138"/>
      <c r="S174" s="61"/>
      <c r="U174" s="143"/>
      <c r="V174" s="117"/>
      <c r="X174" s="143"/>
      <c r="Y174" s="117"/>
      <c r="AA174" s="124"/>
      <c r="AB174" s="125"/>
      <c r="AC174" s="125"/>
      <c r="AD174" s="117"/>
      <c r="AE174" s="117"/>
      <c r="AF174" s="126">
        <f t="shared" si="3"/>
        <v>0</v>
      </c>
    </row>
    <row r="175" spans="1:32" ht="13" collapsed="1" x14ac:dyDescent="0.25">
      <c r="A175" s="59"/>
      <c r="B175" s="664" t="s">
        <v>603</v>
      </c>
      <c r="C175" s="130"/>
      <c r="D175" s="130"/>
      <c r="E175" s="130"/>
      <c r="F175" s="130"/>
      <c r="G175" s="130"/>
      <c r="H175" s="130"/>
      <c r="I175" s="130"/>
      <c r="J175" s="130"/>
      <c r="K175" s="130"/>
      <c r="L175" s="130"/>
      <c r="M175" s="130"/>
      <c r="N175" s="130"/>
      <c r="O175" s="130"/>
      <c r="P175" s="130"/>
      <c r="Q175" s="130"/>
      <c r="R175" s="131"/>
      <c r="S175" s="94"/>
      <c r="U175" s="145"/>
      <c r="V175" s="133"/>
      <c r="W175" s="134"/>
      <c r="X175" s="144"/>
      <c r="Y175" s="133"/>
      <c r="Z175" s="134"/>
      <c r="AA175" s="135"/>
      <c r="AB175" s="136"/>
      <c r="AC175" s="136"/>
      <c r="AD175" s="136"/>
      <c r="AE175" s="136"/>
      <c r="AF175" s="137" t="str">
        <f t="shared" si="3"/>
        <v>Alarm devices - Sound</v>
      </c>
    </row>
    <row r="176" spans="1:32" ht="13" hidden="1" outlineLevel="1" x14ac:dyDescent="0.25">
      <c r="A176" s="59"/>
      <c r="B176" s="345" t="s">
        <v>864</v>
      </c>
      <c r="C176" s="122">
        <v>0</v>
      </c>
      <c r="D176" s="113" t="s">
        <v>147</v>
      </c>
      <c r="E176" s="123">
        <v>0</v>
      </c>
      <c r="F176" s="115" t="s">
        <v>147</v>
      </c>
      <c r="G176" s="122">
        <v>0</v>
      </c>
      <c r="H176" s="113" t="s">
        <v>147</v>
      </c>
      <c r="I176" s="123">
        <v>0</v>
      </c>
      <c r="J176" s="115" t="s">
        <v>147</v>
      </c>
      <c r="K176" s="122">
        <v>0</v>
      </c>
      <c r="L176" s="113" t="s">
        <v>147</v>
      </c>
      <c r="M176" s="123">
        <v>0</v>
      </c>
      <c r="N176" s="115" t="s">
        <v>147</v>
      </c>
      <c r="O176" s="122">
        <v>0</v>
      </c>
      <c r="P176" s="113" t="s">
        <v>147</v>
      </c>
      <c r="Q176" s="123">
        <v>0</v>
      </c>
      <c r="R176" s="115" t="s">
        <v>147</v>
      </c>
      <c r="S176" s="61"/>
      <c r="U176" s="116">
        <f t="shared" ref="U176:U187" si="4">V176+W176</f>
        <v>1</v>
      </c>
      <c r="V176" s="117">
        <v>1</v>
      </c>
      <c r="W176" s="118">
        <v>0</v>
      </c>
      <c r="X176" s="116">
        <f t="shared" ref="X176:X187" si="5">Y176+Z176</f>
        <v>15</v>
      </c>
      <c r="Y176" s="117">
        <v>15</v>
      </c>
      <c r="Z176" s="118">
        <v>0</v>
      </c>
      <c r="AA176" s="124">
        <v>1</v>
      </c>
      <c r="AB176" s="125">
        <v>1</v>
      </c>
      <c r="AC176" s="125">
        <v>0</v>
      </c>
      <c r="AD176" s="117">
        <v>0</v>
      </c>
      <c r="AE176" s="117">
        <v>0</v>
      </c>
      <c r="AF176" s="126" t="str">
        <f t="shared" si="3"/>
        <v>FDS221-R, FDS221-W - Alarm sounder red or white housing, Volume High</v>
      </c>
    </row>
    <row r="177" spans="1:32" ht="13" hidden="1" outlineLevel="1" x14ac:dyDescent="0.25">
      <c r="A177" s="59"/>
      <c r="B177" s="345" t="s">
        <v>865</v>
      </c>
      <c r="C177" s="122">
        <v>0</v>
      </c>
      <c r="D177" s="113" t="s">
        <v>147</v>
      </c>
      <c r="E177" s="123">
        <v>0</v>
      </c>
      <c r="F177" s="115" t="s">
        <v>147</v>
      </c>
      <c r="G177" s="122">
        <v>0</v>
      </c>
      <c r="H177" s="113" t="s">
        <v>147</v>
      </c>
      <c r="I177" s="123">
        <v>0</v>
      </c>
      <c r="J177" s="115" t="s">
        <v>147</v>
      </c>
      <c r="K177" s="122">
        <v>0</v>
      </c>
      <c r="L177" s="113" t="s">
        <v>147</v>
      </c>
      <c r="M177" s="123">
        <v>0</v>
      </c>
      <c r="N177" s="115" t="s">
        <v>147</v>
      </c>
      <c r="O177" s="122">
        <v>0</v>
      </c>
      <c r="P177" s="113" t="s">
        <v>147</v>
      </c>
      <c r="Q177" s="123">
        <v>0</v>
      </c>
      <c r="R177" s="115" t="s">
        <v>147</v>
      </c>
      <c r="S177" s="61"/>
      <c r="U177" s="116">
        <f t="shared" si="4"/>
        <v>1</v>
      </c>
      <c r="V177" s="117">
        <v>1</v>
      </c>
      <c r="W177" s="118">
        <v>0</v>
      </c>
      <c r="X177" s="116">
        <f t="shared" si="5"/>
        <v>10</v>
      </c>
      <c r="Y177" s="117">
        <v>10</v>
      </c>
      <c r="Z177" s="118">
        <v>0</v>
      </c>
      <c r="AA177" s="124">
        <v>1</v>
      </c>
      <c r="AB177" s="125">
        <v>1</v>
      </c>
      <c r="AC177" s="125">
        <v>0</v>
      </c>
      <c r="AD177" s="117">
        <v>0</v>
      </c>
      <c r="AE177" s="117">
        <v>0</v>
      </c>
      <c r="AF177" s="126" t="str">
        <f t="shared" si="3"/>
        <v>FDS221-R, FDS221-W - Alarm sounder red or white housing, Volume Medium</v>
      </c>
    </row>
    <row r="178" spans="1:32" ht="13" hidden="1" outlineLevel="1" x14ac:dyDescent="0.25">
      <c r="A178" s="59"/>
      <c r="B178" s="345" t="s">
        <v>866</v>
      </c>
      <c r="C178" s="122">
        <v>0</v>
      </c>
      <c r="D178" s="113" t="s">
        <v>147</v>
      </c>
      <c r="E178" s="123">
        <v>0</v>
      </c>
      <c r="F178" s="115" t="s">
        <v>147</v>
      </c>
      <c r="G178" s="122">
        <v>0</v>
      </c>
      <c r="H178" s="113" t="s">
        <v>147</v>
      </c>
      <c r="I178" s="123">
        <v>0</v>
      </c>
      <c r="J178" s="115" t="s">
        <v>147</v>
      </c>
      <c r="K178" s="122">
        <v>0</v>
      </c>
      <c r="L178" s="113" t="s">
        <v>147</v>
      </c>
      <c r="M178" s="123">
        <v>0</v>
      </c>
      <c r="N178" s="115" t="s">
        <v>147</v>
      </c>
      <c r="O178" s="122">
        <v>0</v>
      </c>
      <c r="P178" s="113" t="s">
        <v>147</v>
      </c>
      <c r="Q178" s="123">
        <v>0</v>
      </c>
      <c r="R178" s="115" t="s">
        <v>147</v>
      </c>
      <c r="S178" s="61"/>
      <c r="U178" s="116">
        <f t="shared" si="4"/>
        <v>1</v>
      </c>
      <c r="V178" s="117">
        <v>1</v>
      </c>
      <c r="W178" s="118">
        <v>0</v>
      </c>
      <c r="X178" s="116">
        <f t="shared" si="5"/>
        <v>5</v>
      </c>
      <c r="Y178" s="117">
        <v>5</v>
      </c>
      <c r="Z178" s="118">
        <v>0</v>
      </c>
      <c r="AA178" s="124">
        <v>1</v>
      </c>
      <c r="AB178" s="125">
        <v>1</v>
      </c>
      <c r="AC178" s="125">
        <v>0</v>
      </c>
      <c r="AD178" s="117">
        <v>0</v>
      </c>
      <c r="AE178" s="117">
        <v>0</v>
      </c>
      <c r="AF178" s="126" t="str">
        <f t="shared" si="3"/>
        <v>FDS221-R, FDS221-W - Alarm sounder red or white housing, Volume Low</v>
      </c>
    </row>
    <row r="179" spans="1:32" ht="13" hidden="1" outlineLevel="1" x14ac:dyDescent="0.25">
      <c r="A179" s="59"/>
      <c r="B179" s="655" t="s">
        <v>868</v>
      </c>
      <c r="C179" s="122">
        <v>0</v>
      </c>
      <c r="D179" s="113" t="s">
        <v>147</v>
      </c>
      <c r="E179" s="123">
        <v>0</v>
      </c>
      <c r="F179" s="115" t="s">
        <v>147</v>
      </c>
      <c r="G179" s="122">
        <v>0</v>
      </c>
      <c r="H179" s="113" t="s">
        <v>147</v>
      </c>
      <c r="I179" s="123">
        <v>0</v>
      </c>
      <c r="J179" s="115" t="s">
        <v>147</v>
      </c>
      <c r="K179" s="122">
        <v>0</v>
      </c>
      <c r="L179" s="113" t="s">
        <v>147</v>
      </c>
      <c r="M179" s="123">
        <v>0</v>
      </c>
      <c r="N179" s="115" t="s">
        <v>147</v>
      </c>
      <c r="O179" s="122">
        <v>0</v>
      </c>
      <c r="P179" s="113" t="s">
        <v>147</v>
      </c>
      <c r="Q179" s="123">
        <v>0</v>
      </c>
      <c r="R179" s="115" t="s">
        <v>147</v>
      </c>
      <c r="S179" s="61"/>
      <c r="U179" s="116">
        <f t="shared" si="4"/>
        <v>0.5</v>
      </c>
      <c r="V179" s="117">
        <v>0.5</v>
      </c>
      <c r="W179" s="118">
        <v>0</v>
      </c>
      <c r="X179" s="116">
        <f t="shared" si="5"/>
        <v>5</v>
      </c>
      <c r="Y179" s="117">
        <v>5</v>
      </c>
      <c r="Z179" s="118">
        <v>0</v>
      </c>
      <c r="AA179" s="124">
        <v>0</v>
      </c>
      <c r="AB179" s="125">
        <v>0</v>
      </c>
      <c r="AC179" s="125">
        <v>0</v>
      </c>
      <c r="AD179" s="117">
        <v>0</v>
      </c>
      <c r="AE179" s="117">
        <v>0</v>
      </c>
      <c r="AF179" s="126" t="str">
        <f t="shared" si="3"/>
        <v>DBS720 - Sounder base, Volume High</v>
      </c>
    </row>
    <row r="180" spans="1:32" ht="13" hidden="1" outlineLevel="1" x14ac:dyDescent="0.25">
      <c r="A180" s="59"/>
      <c r="B180" s="346" t="s">
        <v>867</v>
      </c>
      <c r="C180" s="122">
        <v>0</v>
      </c>
      <c r="D180" s="113" t="s">
        <v>147</v>
      </c>
      <c r="E180" s="123">
        <v>0</v>
      </c>
      <c r="F180" s="115" t="s">
        <v>147</v>
      </c>
      <c r="G180" s="122">
        <v>0</v>
      </c>
      <c r="H180" s="113" t="s">
        <v>147</v>
      </c>
      <c r="I180" s="123">
        <v>0</v>
      </c>
      <c r="J180" s="115" t="s">
        <v>147</v>
      </c>
      <c r="K180" s="122">
        <v>0</v>
      </c>
      <c r="L180" s="113" t="s">
        <v>147</v>
      </c>
      <c r="M180" s="123">
        <v>0</v>
      </c>
      <c r="N180" s="115" t="s">
        <v>147</v>
      </c>
      <c r="O180" s="122">
        <v>0</v>
      </c>
      <c r="P180" s="113" t="s">
        <v>147</v>
      </c>
      <c r="Q180" s="123">
        <v>0</v>
      </c>
      <c r="R180" s="115" t="s">
        <v>147</v>
      </c>
      <c r="S180" s="61"/>
      <c r="U180" s="116">
        <f t="shared" si="4"/>
        <v>0.5</v>
      </c>
      <c r="V180" s="117">
        <v>0.5</v>
      </c>
      <c r="W180" s="118">
        <v>0</v>
      </c>
      <c r="X180" s="116">
        <f t="shared" si="5"/>
        <v>5</v>
      </c>
      <c r="Y180" s="117">
        <v>5</v>
      </c>
      <c r="Z180" s="118">
        <v>0</v>
      </c>
      <c r="AA180" s="124">
        <v>0</v>
      </c>
      <c r="AB180" s="125">
        <v>0</v>
      </c>
      <c r="AC180" s="125">
        <v>0</v>
      </c>
      <c r="AD180" s="117">
        <v>0</v>
      </c>
      <c r="AE180" s="117">
        <v>0</v>
      </c>
      <c r="AF180" s="126" t="str">
        <f t="shared" si="3"/>
        <v>DBS720 - Sounder base, Volume Medium</v>
      </c>
    </row>
    <row r="181" spans="1:32" ht="13" hidden="1" outlineLevel="1" x14ac:dyDescent="0.25">
      <c r="A181" s="59"/>
      <c r="B181" s="345" t="s">
        <v>869</v>
      </c>
      <c r="C181" s="122">
        <v>0</v>
      </c>
      <c r="D181" s="113" t="s">
        <v>147</v>
      </c>
      <c r="E181" s="123">
        <v>0</v>
      </c>
      <c r="F181" s="115" t="s">
        <v>147</v>
      </c>
      <c r="G181" s="122">
        <v>0</v>
      </c>
      <c r="H181" s="113" t="s">
        <v>147</v>
      </c>
      <c r="I181" s="123">
        <v>0</v>
      </c>
      <c r="J181" s="115" t="s">
        <v>147</v>
      </c>
      <c r="K181" s="122">
        <v>0</v>
      </c>
      <c r="L181" s="113" t="s">
        <v>147</v>
      </c>
      <c r="M181" s="123">
        <v>0</v>
      </c>
      <c r="N181" s="115" t="s">
        <v>147</v>
      </c>
      <c r="O181" s="122">
        <v>0</v>
      </c>
      <c r="P181" s="113" t="s">
        <v>147</v>
      </c>
      <c r="Q181" s="123">
        <v>0</v>
      </c>
      <c r="R181" s="115" t="s">
        <v>147</v>
      </c>
      <c r="S181" s="61"/>
      <c r="U181" s="116">
        <f t="shared" si="4"/>
        <v>1</v>
      </c>
      <c r="V181" s="117">
        <v>1</v>
      </c>
      <c r="W181" s="118">
        <v>0</v>
      </c>
      <c r="X181" s="116">
        <f t="shared" si="5"/>
        <v>15</v>
      </c>
      <c r="Y181" s="117">
        <v>15</v>
      </c>
      <c r="Z181" s="118">
        <v>0</v>
      </c>
      <c r="AA181" s="124">
        <v>1</v>
      </c>
      <c r="AB181" s="125">
        <v>1</v>
      </c>
      <c r="AC181" s="125">
        <v>0</v>
      </c>
      <c r="AD181" s="117">
        <v>0</v>
      </c>
      <c r="AE181" s="117">
        <v>0</v>
      </c>
      <c r="AF181" s="126" t="str">
        <f t="shared" si="3"/>
        <v>DBS721 - Sounder interbase, Volume High</v>
      </c>
    </row>
    <row r="182" spans="1:32" ht="13" hidden="1" outlineLevel="1" x14ac:dyDescent="0.25">
      <c r="A182" s="59"/>
      <c r="B182" s="345" t="s">
        <v>870</v>
      </c>
      <c r="C182" s="122">
        <v>0</v>
      </c>
      <c r="D182" s="113" t="s">
        <v>147</v>
      </c>
      <c r="E182" s="123">
        <v>0</v>
      </c>
      <c r="F182" s="115" t="s">
        <v>147</v>
      </c>
      <c r="G182" s="122">
        <v>0</v>
      </c>
      <c r="H182" s="113" t="s">
        <v>147</v>
      </c>
      <c r="I182" s="123">
        <v>0</v>
      </c>
      <c r="J182" s="115" t="s">
        <v>147</v>
      </c>
      <c r="K182" s="122">
        <v>0</v>
      </c>
      <c r="L182" s="113" t="s">
        <v>147</v>
      </c>
      <c r="M182" s="123">
        <v>0</v>
      </c>
      <c r="N182" s="115" t="s">
        <v>147</v>
      </c>
      <c r="O182" s="122">
        <v>0</v>
      </c>
      <c r="P182" s="113" t="s">
        <v>147</v>
      </c>
      <c r="Q182" s="123">
        <v>0</v>
      </c>
      <c r="R182" s="115" t="s">
        <v>147</v>
      </c>
      <c r="S182" s="61"/>
      <c r="U182" s="116">
        <f t="shared" si="4"/>
        <v>1</v>
      </c>
      <c r="V182" s="117">
        <v>1</v>
      </c>
      <c r="W182" s="118">
        <v>0</v>
      </c>
      <c r="X182" s="116">
        <f t="shared" si="5"/>
        <v>10</v>
      </c>
      <c r="Y182" s="117">
        <v>10</v>
      </c>
      <c r="Z182" s="118">
        <v>0</v>
      </c>
      <c r="AA182" s="124">
        <v>1</v>
      </c>
      <c r="AB182" s="125">
        <v>1</v>
      </c>
      <c r="AC182" s="125">
        <v>0</v>
      </c>
      <c r="AD182" s="117">
        <v>0</v>
      </c>
      <c r="AE182" s="117">
        <v>0</v>
      </c>
      <c r="AF182" s="126" t="str">
        <f t="shared" si="3"/>
        <v>DBS721 - Sounder interbase, Volume Medium</v>
      </c>
    </row>
    <row r="183" spans="1:32" ht="13" hidden="1" outlineLevel="1" x14ac:dyDescent="0.25">
      <c r="A183" s="59"/>
      <c r="B183" s="346" t="s">
        <v>871</v>
      </c>
      <c r="C183" s="122">
        <v>0</v>
      </c>
      <c r="D183" s="113" t="s">
        <v>147</v>
      </c>
      <c r="E183" s="123">
        <v>0</v>
      </c>
      <c r="F183" s="115" t="s">
        <v>147</v>
      </c>
      <c r="G183" s="122">
        <v>0</v>
      </c>
      <c r="H183" s="113" t="s">
        <v>147</v>
      </c>
      <c r="I183" s="123">
        <v>0</v>
      </c>
      <c r="J183" s="115" t="s">
        <v>147</v>
      </c>
      <c r="K183" s="122">
        <v>0</v>
      </c>
      <c r="L183" s="113" t="s">
        <v>147</v>
      </c>
      <c r="M183" s="123">
        <v>0</v>
      </c>
      <c r="N183" s="115" t="s">
        <v>147</v>
      </c>
      <c r="O183" s="122">
        <v>0</v>
      </c>
      <c r="P183" s="113" t="s">
        <v>147</v>
      </c>
      <c r="Q183" s="123">
        <v>0</v>
      </c>
      <c r="R183" s="115" t="s">
        <v>147</v>
      </c>
      <c r="S183" s="61"/>
      <c r="U183" s="116">
        <f t="shared" si="4"/>
        <v>1</v>
      </c>
      <c r="V183" s="117">
        <v>1</v>
      </c>
      <c r="W183" s="118">
        <v>0</v>
      </c>
      <c r="X183" s="116">
        <f t="shared" si="5"/>
        <v>5</v>
      </c>
      <c r="Y183" s="117">
        <v>5</v>
      </c>
      <c r="Z183" s="118">
        <v>0</v>
      </c>
      <c r="AA183" s="124">
        <v>1</v>
      </c>
      <c r="AB183" s="125">
        <v>1</v>
      </c>
      <c r="AC183" s="125">
        <v>0</v>
      </c>
      <c r="AD183" s="117">
        <v>0</v>
      </c>
      <c r="AE183" s="117">
        <v>0</v>
      </c>
      <c r="AF183" s="126" t="str">
        <f t="shared" si="3"/>
        <v>DBS721 - Sounder interbase, Volume Low</v>
      </c>
    </row>
    <row r="184" spans="1:32" ht="13" hidden="1" outlineLevel="1" x14ac:dyDescent="0.25">
      <c r="A184" s="59"/>
      <c r="B184" s="345" t="s">
        <v>872</v>
      </c>
      <c r="C184" s="122">
        <v>0</v>
      </c>
      <c r="D184" s="113" t="s">
        <v>147</v>
      </c>
      <c r="E184" s="123">
        <v>0</v>
      </c>
      <c r="F184" s="115" t="s">
        <v>147</v>
      </c>
      <c r="G184" s="122">
        <v>0</v>
      </c>
      <c r="H184" s="113" t="s">
        <v>147</v>
      </c>
      <c r="I184" s="123">
        <v>0</v>
      </c>
      <c r="J184" s="115" t="s">
        <v>147</v>
      </c>
      <c r="K184" s="122">
        <v>0</v>
      </c>
      <c r="L184" s="113" t="s">
        <v>147</v>
      </c>
      <c r="M184" s="123">
        <v>0</v>
      </c>
      <c r="N184" s="115" t="s">
        <v>147</v>
      </c>
      <c r="O184" s="122">
        <v>0</v>
      </c>
      <c r="P184" s="113" t="s">
        <v>147</v>
      </c>
      <c r="Q184" s="123">
        <v>0</v>
      </c>
      <c r="R184" s="115" t="s">
        <v>147</v>
      </c>
      <c r="S184" s="61"/>
      <c r="U184" s="116">
        <f t="shared" si="4"/>
        <v>1</v>
      </c>
      <c r="V184" s="117">
        <v>1</v>
      </c>
      <c r="W184" s="118">
        <v>0</v>
      </c>
      <c r="X184" s="116">
        <f t="shared" si="5"/>
        <v>15</v>
      </c>
      <c r="Y184" s="117">
        <v>15</v>
      </c>
      <c r="Z184" s="118">
        <v>0</v>
      </c>
      <c r="AA184" s="124">
        <v>1</v>
      </c>
      <c r="AB184" s="125">
        <v>1</v>
      </c>
      <c r="AC184" s="125">
        <v>0</v>
      </c>
      <c r="AD184" s="117">
        <v>1</v>
      </c>
      <c r="AE184" s="117">
        <v>0</v>
      </c>
      <c r="AF184" s="126" t="str">
        <f t="shared" si="3"/>
        <v>FDS224-R, FDS224-W - Sounder red or white housing, Volume High</v>
      </c>
    </row>
    <row r="185" spans="1:32" ht="13" hidden="1" outlineLevel="1" x14ac:dyDescent="0.25">
      <c r="A185" s="59"/>
      <c r="B185" s="345" t="s">
        <v>873</v>
      </c>
      <c r="C185" s="122">
        <v>0</v>
      </c>
      <c r="D185" s="113" t="s">
        <v>147</v>
      </c>
      <c r="E185" s="123">
        <v>0</v>
      </c>
      <c r="F185" s="115" t="s">
        <v>147</v>
      </c>
      <c r="G185" s="122">
        <v>0</v>
      </c>
      <c r="H185" s="113" t="s">
        <v>147</v>
      </c>
      <c r="I185" s="123">
        <v>0</v>
      </c>
      <c r="J185" s="115" t="s">
        <v>147</v>
      </c>
      <c r="K185" s="122">
        <v>0</v>
      </c>
      <c r="L185" s="113" t="s">
        <v>147</v>
      </c>
      <c r="M185" s="123">
        <v>0</v>
      </c>
      <c r="N185" s="115" t="s">
        <v>147</v>
      </c>
      <c r="O185" s="122">
        <v>0</v>
      </c>
      <c r="P185" s="113" t="s">
        <v>147</v>
      </c>
      <c r="Q185" s="123">
        <v>0</v>
      </c>
      <c r="R185" s="115" t="s">
        <v>147</v>
      </c>
      <c r="S185" s="61"/>
      <c r="U185" s="116">
        <f t="shared" si="4"/>
        <v>1</v>
      </c>
      <c r="V185" s="117">
        <v>1</v>
      </c>
      <c r="W185" s="118">
        <v>0</v>
      </c>
      <c r="X185" s="116">
        <f t="shared" si="5"/>
        <v>8</v>
      </c>
      <c r="Y185" s="117">
        <v>8</v>
      </c>
      <c r="Z185" s="118">
        <v>0</v>
      </c>
      <c r="AA185" s="124">
        <v>1</v>
      </c>
      <c r="AB185" s="125">
        <v>1</v>
      </c>
      <c r="AC185" s="125">
        <v>0</v>
      </c>
      <c r="AD185" s="117">
        <v>1</v>
      </c>
      <c r="AE185" s="117">
        <v>0</v>
      </c>
      <c r="AF185" s="126" t="str">
        <f t="shared" si="3"/>
        <v>FDS224-R, FDS224-W - Sounder red or white housing, Volume Medium</v>
      </c>
    </row>
    <row r="186" spans="1:32" ht="13" hidden="1" outlineLevel="1" x14ac:dyDescent="0.25">
      <c r="A186" s="59"/>
      <c r="B186" s="121" t="s">
        <v>874</v>
      </c>
      <c r="C186" s="122">
        <v>0</v>
      </c>
      <c r="D186" s="115" t="s">
        <v>147</v>
      </c>
      <c r="E186" s="122">
        <v>0</v>
      </c>
      <c r="F186" s="138" t="s">
        <v>147</v>
      </c>
      <c r="G186" s="122">
        <v>0</v>
      </c>
      <c r="H186" s="138" t="s">
        <v>147</v>
      </c>
      <c r="I186" s="122">
        <v>0</v>
      </c>
      <c r="J186" s="138" t="s">
        <v>147</v>
      </c>
      <c r="K186" s="122">
        <v>0</v>
      </c>
      <c r="L186" s="138" t="s">
        <v>147</v>
      </c>
      <c r="M186" s="122">
        <v>0</v>
      </c>
      <c r="N186" s="138" t="s">
        <v>147</v>
      </c>
      <c r="O186" s="122">
        <v>0</v>
      </c>
      <c r="P186" s="138" t="s">
        <v>147</v>
      </c>
      <c r="Q186" s="122">
        <v>0</v>
      </c>
      <c r="R186" s="138" t="s">
        <v>147</v>
      </c>
      <c r="S186" s="61"/>
      <c r="U186" s="116">
        <f t="shared" si="4"/>
        <v>1</v>
      </c>
      <c r="V186" s="117">
        <v>1</v>
      </c>
      <c r="W186" s="118">
        <v>0</v>
      </c>
      <c r="X186" s="116">
        <f t="shared" si="5"/>
        <v>6</v>
      </c>
      <c r="Y186" s="117">
        <v>6</v>
      </c>
      <c r="Z186" s="118">
        <v>0</v>
      </c>
      <c r="AA186" s="124">
        <v>1</v>
      </c>
      <c r="AB186" s="125">
        <v>1</v>
      </c>
      <c r="AC186" s="125">
        <v>0</v>
      </c>
      <c r="AD186" s="117">
        <v>1</v>
      </c>
      <c r="AE186" s="117">
        <v>0</v>
      </c>
      <c r="AF186" s="126" t="str">
        <f t="shared" si="3"/>
        <v>FDS224-R, FDS224-W - Sounder red or white housing, Volume Low</v>
      </c>
    </row>
    <row r="187" spans="1:32" ht="13" hidden="1" outlineLevel="1" x14ac:dyDescent="0.25">
      <c r="A187" s="59"/>
      <c r="B187" s="121" t="s">
        <v>956</v>
      </c>
      <c r="C187" s="122">
        <v>0</v>
      </c>
      <c r="D187" s="113" t="s">
        <v>780</v>
      </c>
      <c r="E187" s="122">
        <v>0</v>
      </c>
      <c r="F187" s="115" t="s">
        <v>147</v>
      </c>
      <c r="G187" s="122">
        <v>0</v>
      </c>
      <c r="H187" s="115" t="s">
        <v>147</v>
      </c>
      <c r="I187" s="122">
        <v>0</v>
      </c>
      <c r="J187" s="115" t="s">
        <v>147</v>
      </c>
      <c r="K187" s="122">
        <v>0</v>
      </c>
      <c r="L187" s="115" t="s">
        <v>147</v>
      </c>
      <c r="M187" s="122">
        <v>0</v>
      </c>
      <c r="N187" s="115" t="s">
        <v>147</v>
      </c>
      <c r="O187" s="122">
        <v>0</v>
      </c>
      <c r="P187" s="115" t="s">
        <v>147</v>
      </c>
      <c r="Q187" s="122">
        <v>0</v>
      </c>
      <c r="R187" s="115" t="s">
        <v>147</v>
      </c>
      <c r="S187" s="61"/>
      <c r="U187" s="116">
        <f t="shared" si="4"/>
        <v>1</v>
      </c>
      <c r="V187" s="117">
        <v>1</v>
      </c>
      <c r="W187" s="118">
        <v>0</v>
      </c>
      <c r="X187" s="116">
        <f t="shared" si="5"/>
        <v>15</v>
      </c>
      <c r="Y187" s="117">
        <v>15</v>
      </c>
      <c r="Z187" s="118">
        <v>0</v>
      </c>
      <c r="AA187" s="124">
        <v>1</v>
      </c>
      <c r="AB187" s="125">
        <v>1</v>
      </c>
      <c r="AC187" s="125">
        <v>0</v>
      </c>
      <c r="AD187" s="117">
        <v>1</v>
      </c>
      <c r="AE187" s="117">
        <v>0</v>
      </c>
      <c r="AF187" s="126" t="str">
        <f t="shared" si="3"/>
        <v>FDS364-R, FDS364-W - Sounder red or white housing, Volume High</v>
      </c>
    </row>
    <row r="188" spans="1:32" hidden="1" x14ac:dyDescent="0.25">
      <c r="A188" s="59"/>
      <c r="B188" s="121"/>
      <c r="C188" s="122"/>
      <c r="D188" s="115"/>
      <c r="E188" s="122"/>
      <c r="F188" s="138"/>
      <c r="G188" s="122"/>
      <c r="H188" s="138"/>
      <c r="I188" s="122"/>
      <c r="J188" s="138"/>
      <c r="K188" s="122"/>
      <c r="L188" s="138"/>
      <c r="M188" s="122"/>
      <c r="N188" s="138"/>
      <c r="O188" s="122"/>
      <c r="P188" s="138"/>
      <c r="Q188" s="122"/>
      <c r="R188" s="138"/>
      <c r="S188" s="61"/>
      <c r="U188" s="143"/>
      <c r="V188" s="117"/>
      <c r="W188" s="118"/>
      <c r="X188" s="143"/>
      <c r="Y188" s="117"/>
      <c r="Z188" s="118"/>
      <c r="AA188" s="124"/>
      <c r="AB188" s="125"/>
      <c r="AC188" s="125"/>
      <c r="AD188" s="117"/>
      <c r="AE188" s="117"/>
      <c r="AF188" s="126">
        <f t="shared" si="3"/>
        <v>0</v>
      </c>
    </row>
    <row r="189" spans="1:32" hidden="1" x14ac:dyDescent="0.25">
      <c r="A189" s="59"/>
      <c r="B189" s="121"/>
      <c r="C189" s="122"/>
      <c r="D189" s="115"/>
      <c r="E189" s="122"/>
      <c r="F189" s="138"/>
      <c r="G189" s="122"/>
      <c r="H189" s="138"/>
      <c r="I189" s="122"/>
      <c r="J189" s="138"/>
      <c r="K189" s="122"/>
      <c r="L189" s="138"/>
      <c r="M189" s="122"/>
      <c r="N189" s="138"/>
      <c r="O189" s="122"/>
      <c r="P189" s="138"/>
      <c r="Q189" s="122"/>
      <c r="R189" s="138"/>
      <c r="S189" s="61"/>
      <c r="U189" s="143"/>
      <c r="V189" s="117"/>
      <c r="W189" s="118"/>
      <c r="X189" s="143"/>
      <c r="Y189" s="117"/>
      <c r="Z189" s="118"/>
      <c r="AA189" s="124"/>
      <c r="AB189" s="125"/>
      <c r="AC189" s="125"/>
      <c r="AD189" s="117"/>
      <c r="AE189" s="117"/>
      <c r="AF189" s="126">
        <f t="shared" si="3"/>
        <v>0</v>
      </c>
    </row>
    <row r="190" spans="1:32" hidden="1" x14ac:dyDescent="0.25">
      <c r="A190" s="59"/>
      <c r="B190" s="121"/>
      <c r="C190" s="122"/>
      <c r="D190" s="115"/>
      <c r="E190" s="122"/>
      <c r="F190" s="138"/>
      <c r="G190" s="122"/>
      <c r="H190" s="138"/>
      <c r="I190" s="122"/>
      <c r="J190" s="138"/>
      <c r="K190" s="122"/>
      <c r="L190" s="138"/>
      <c r="M190" s="122"/>
      <c r="N190" s="138"/>
      <c r="O190" s="122"/>
      <c r="P190" s="138"/>
      <c r="Q190" s="122"/>
      <c r="R190" s="138"/>
      <c r="S190" s="61"/>
      <c r="U190" s="143"/>
      <c r="V190" s="117"/>
      <c r="W190" s="118"/>
      <c r="X190" s="143"/>
      <c r="Y190" s="117"/>
      <c r="Z190" s="118"/>
      <c r="AA190" s="124"/>
      <c r="AB190" s="125"/>
      <c r="AC190" s="125"/>
      <c r="AD190" s="117"/>
      <c r="AE190" s="117"/>
      <c r="AF190" s="126">
        <f t="shared" si="3"/>
        <v>0</v>
      </c>
    </row>
    <row r="191" spans="1:32" hidden="1" x14ac:dyDescent="0.25">
      <c r="A191" s="59"/>
      <c r="B191" s="121"/>
      <c r="C191" s="122"/>
      <c r="D191" s="115"/>
      <c r="E191" s="122"/>
      <c r="F191" s="138"/>
      <c r="G191" s="122"/>
      <c r="H191" s="138"/>
      <c r="I191" s="122"/>
      <c r="J191" s="138"/>
      <c r="K191" s="122"/>
      <c r="L191" s="138"/>
      <c r="M191" s="122"/>
      <c r="N191" s="138"/>
      <c r="O191" s="122"/>
      <c r="P191" s="138"/>
      <c r="Q191" s="122"/>
      <c r="R191" s="138"/>
      <c r="S191" s="61"/>
      <c r="U191" s="143"/>
      <c r="V191" s="117"/>
      <c r="W191" s="118"/>
      <c r="X191" s="143"/>
      <c r="Y191" s="117"/>
      <c r="Z191" s="118"/>
      <c r="AA191" s="124"/>
      <c r="AB191" s="125"/>
      <c r="AC191" s="125"/>
      <c r="AD191" s="117"/>
      <c r="AE191" s="117"/>
      <c r="AF191" s="126">
        <f t="shared" si="3"/>
        <v>0</v>
      </c>
    </row>
    <row r="192" spans="1:32" hidden="1" x14ac:dyDescent="0.25">
      <c r="A192" s="59"/>
      <c r="B192" s="121"/>
      <c r="C192" s="122"/>
      <c r="D192" s="115"/>
      <c r="E192" s="122"/>
      <c r="F192" s="138"/>
      <c r="G192" s="122"/>
      <c r="H192" s="138"/>
      <c r="I192" s="122"/>
      <c r="J192" s="138"/>
      <c r="K192" s="122"/>
      <c r="L192" s="138"/>
      <c r="M192" s="122"/>
      <c r="N192" s="138"/>
      <c r="O192" s="122"/>
      <c r="P192" s="138"/>
      <c r="Q192" s="122"/>
      <c r="R192" s="138"/>
      <c r="S192" s="61"/>
      <c r="U192" s="143"/>
      <c r="V192" s="117"/>
      <c r="W192" s="118"/>
      <c r="X192" s="143"/>
      <c r="Y192" s="117"/>
      <c r="Z192" s="118"/>
      <c r="AA192" s="124"/>
      <c r="AB192" s="125"/>
      <c r="AC192" s="125"/>
      <c r="AD192" s="117"/>
      <c r="AE192" s="117"/>
      <c r="AF192" s="126">
        <f t="shared" si="3"/>
        <v>0</v>
      </c>
    </row>
    <row r="193" spans="1:32" hidden="1" x14ac:dyDescent="0.25">
      <c r="A193" s="59"/>
      <c r="B193" s="121"/>
      <c r="C193" s="122"/>
      <c r="D193" s="115"/>
      <c r="E193" s="122"/>
      <c r="F193" s="138"/>
      <c r="G193" s="122"/>
      <c r="H193" s="138"/>
      <c r="I193" s="122"/>
      <c r="J193" s="138"/>
      <c r="K193" s="122"/>
      <c r="L193" s="138"/>
      <c r="M193" s="122"/>
      <c r="N193" s="138"/>
      <c r="O193" s="122"/>
      <c r="P193" s="138"/>
      <c r="Q193" s="122"/>
      <c r="R193" s="138"/>
      <c r="S193" s="61"/>
      <c r="U193" s="143"/>
      <c r="V193" s="117"/>
      <c r="W193" s="118"/>
      <c r="X193" s="143"/>
      <c r="Y193" s="117"/>
      <c r="Z193" s="118"/>
      <c r="AA193" s="124"/>
      <c r="AB193" s="125"/>
      <c r="AC193" s="125"/>
      <c r="AD193" s="117"/>
      <c r="AE193" s="117"/>
      <c r="AF193" s="126">
        <f t="shared" si="3"/>
        <v>0</v>
      </c>
    </row>
    <row r="194" spans="1:32" hidden="1" x14ac:dyDescent="0.25">
      <c r="A194" s="59"/>
      <c r="B194" s="121"/>
      <c r="C194" s="122"/>
      <c r="D194" s="115"/>
      <c r="E194" s="122"/>
      <c r="F194" s="138"/>
      <c r="G194" s="122"/>
      <c r="H194" s="138"/>
      <c r="I194" s="122"/>
      <c r="J194" s="138"/>
      <c r="K194" s="122"/>
      <c r="L194" s="138"/>
      <c r="M194" s="122"/>
      <c r="N194" s="138"/>
      <c r="O194" s="122"/>
      <c r="P194" s="138"/>
      <c r="Q194" s="122"/>
      <c r="R194" s="138"/>
      <c r="S194" s="61"/>
      <c r="U194" s="143"/>
      <c r="V194" s="117"/>
      <c r="W194" s="118"/>
      <c r="X194" s="143"/>
      <c r="Y194" s="117"/>
      <c r="Z194" s="118"/>
      <c r="AA194" s="124"/>
      <c r="AB194" s="125"/>
      <c r="AC194" s="125"/>
      <c r="AD194" s="117"/>
      <c r="AE194" s="117"/>
      <c r="AF194" s="126">
        <f t="shared" si="3"/>
        <v>0</v>
      </c>
    </row>
    <row r="195" spans="1:32" hidden="1" x14ac:dyDescent="0.25">
      <c r="A195" s="59"/>
      <c r="B195" s="121"/>
      <c r="C195" s="122"/>
      <c r="D195" s="115"/>
      <c r="E195" s="122"/>
      <c r="F195" s="138"/>
      <c r="G195" s="122"/>
      <c r="H195" s="138"/>
      <c r="I195" s="122"/>
      <c r="J195" s="138"/>
      <c r="K195" s="122"/>
      <c r="L195" s="138"/>
      <c r="M195" s="122"/>
      <c r="N195" s="138"/>
      <c r="O195" s="122"/>
      <c r="P195" s="138"/>
      <c r="Q195" s="122"/>
      <c r="R195" s="138"/>
      <c r="S195" s="61"/>
      <c r="U195" s="143"/>
      <c r="V195" s="117"/>
      <c r="W195" s="118"/>
      <c r="X195" s="143"/>
      <c r="Y195" s="117"/>
      <c r="Z195" s="118"/>
      <c r="AA195" s="124"/>
      <c r="AB195" s="125"/>
      <c r="AC195" s="125"/>
      <c r="AD195" s="117"/>
      <c r="AE195" s="117"/>
      <c r="AF195" s="126">
        <f t="shared" si="3"/>
        <v>0</v>
      </c>
    </row>
    <row r="196" spans="1:32" ht="13" collapsed="1" x14ac:dyDescent="0.25">
      <c r="A196" s="59"/>
      <c r="B196" s="664" t="s">
        <v>417</v>
      </c>
      <c r="C196" s="130"/>
      <c r="D196" s="130"/>
      <c r="E196" s="130"/>
      <c r="F196" s="130"/>
      <c r="G196" s="130"/>
      <c r="H196" s="130"/>
      <c r="I196" s="130"/>
      <c r="J196" s="130"/>
      <c r="K196" s="130"/>
      <c r="L196" s="130"/>
      <c r="M196" s="130"/>
      <c r="N196" s="130"/>
      <c r="O196" s="130"/>
      <c r="P196" s="130"/>
      <c r="Q196" s="130"/>
      <c r="R196" s="131"/>
      <c r="S196" s="94"/>
      <c r="U196" s="145"/>
      <c r="V196" s="136"/>
      <c r="W196" s="134"/>
      <c r="X196" s="144"/>
      <c r="Y196" s="133"/>
      <c r="Z196" s="134"/>
      <c r="AA196" s="135"/>
      <c r="AB196" s="136"/>
      <c r="AC196" s="136"/>
      <c r="AD196" s="136"/>
      <c r="AE196" s="136"/>
      <c r="AF196" s="137" t="str">
        <f t="shared" si="3"/>
        <v>Alarm devices - Sound and Voice</v>
      </c>
    </row>
    <row r="197" spans="1:32" ht="13" hidden="1" outlineLevel="1" x14ac:dyDescent="0.25">
      <c r="A197" s="59"/>
      <c r="B197" s="345" t="s">
        <v>875</v>
      </c>
      <c r="C197" s="122">
        <v>0</v>
      </c>
      <c r="D197" s="113" t="s">
        <v>147</v>
      </c>
      <c r="E197" s="123">
        <v>0</v>
      </c>
      <c r="F197" s="115" t="s">
        <v>147</v>
      </c>
      <c r="G197" s="122">
        <v>0</v>
      </c>
      <c r="H197" s="113" t="s">
        <v>147</v>
      </c>
      <c r="I197" s="123">
        <v>0</v>
      </c>
      <c r="J197" s="115" t="s">
        <v>147</v>
      </c>
      <c r="K197" s="122">
        <v>0</v>
      </c>
      <c r="L197" s="113" t="s">
        <v>147</v>
      </c>
      <c r="M197" s="123">
        <v>0</v>
      </c>
      <c r="N197" s="115" t="s">
        <v>147</v>
      </c>
      <c r="O197" s="122">
        <v>0</v>
      </c>
      <c r="P197" s="113" t="s">
        <v>147</v>
      </c>
      <c r="Q197" s="123">
        <v>0</v>
      </c>
      <c r="R197" s="115" t="s">
        <v>147</v>
      </c>
      <c r="S197" s="61"/>
      <c r="U197" s="116">
        <f t="shared" ref="U197:U202" si="6">V197+W197</f>
        <v>1</v>
      </c>
      <c r="V197" s="117">
        <v>1</v>
      </c>
      <c r="W197" s="118">
        <v>0</v>
      </c>
      <c r="X197" s="116">
        <f t="shared" ref="X197:X202" si="7">Y197+Z197</f>
        <v>18</v>
      </c>
      <c r="Y197" s="117">
        <v>18</v>
      </c>
      <c r="Z197" s="118">
        <v>0</v>
      </c>
      <c r="AA197" s="124">
        <v>1</v>
      </c>
      <c r="AB197" s="125">
        <v>1</v>
      </c>
      <c r="AC197" s="125">
        <v>0</v>
      </c>
      <c r="AD197" s="117">
        <v>1</v>
      </c>
      <c r="AE197" s="117">
        <v>0</v>
      </c>
      <c r="AF197" s="126" t="str">
        <f t="shared" si="3"/>
        <v>FDS225-R, FDS225-W - Voice sounder red or white housing, Volume High</v>
      </c>
    </row>
    <row r="198" spans="1:32" ht="13" hidden="1" outlineLevel="1" x14ac:dyDescent="0.25">
      <c r="A198" s="59"/>
      <c r="B198" s="345" t="s">
        <v>876</v>
      </c>
      <c r="C198" s="122">
        <v>0</v>
      </c>
      <c r="D198" s="113" t="s">
        <v>147</v>
      </c>
      <c r="E198" s="123">
        <v>0</v>
      </c>
      <c r="F198" s="115" t="s">
        <v>147</v>
      </c>
      <c r="G198" s="122">
        <v>0</v>
      </c>
      <c r="H198" s="113" t="s">
        <v>147</v>
      </c>
      <c r="I198" s="123">
        <v>0</v>
      </c>
      <c r="J198" s="115" t="s">
        <v>147</v>
      </c>
      <c r="K198" s="122">
        <v>0</v>
      </c>
      <c r="L198" s="113" t="s">
        <v>147</v>
      </c>
      <c r="M198" s="123">
        <v>0</v>
      </c>
      <c r="N198" s="115" t="s">
        <v>147</v>
      </c>
      <c r="O198" s="122">
        <v>0</v>
      </c>
      <c r="P198" s="113" t="s">
        <v>147</v>
      </c>
      <c r="Q198" s="123">
        <v>0</v>
      </c>
      <c r="R198" s="115" t="s">
        <v>147</v>
      </c>
      <c r="S198" s="61"/>
      <c r="U198" s="116">
        <f t="shared" si="6"/>
        <v>1</v>
      </c>
      <c r="V198" s="117">
        <v>1</v>
      </c>
      <c r="W198" s="118">
        <v>0</v>
      </c>
      <c r="X198" s="116">
        <f t="shared" si="7"/>
        <v>13</v>
      </c>
      <c r="Y198" s="117">
        <v>13</v>
      </c>
      <c r="Z198" s="118">
        <v>0</v>
      </c>
      <c r="AA198" s="124">
        <v>1</v>
      </c>
      <c r="AB198" s="125">
        <v>1</v>
      </c>
      <c r="AC198" s="125">
        <v>0</v>
      </c>
      <c r="AD198" s="117">
        <v>1</v>
      </c>
      <c r="AE198" s="117">
        <v>0</v>
      </c>
      <c r="AF198" s="126" t="str">
        <f t="shared" si="3"/>
        <v>FDS225-R, FDS225-W - Voice sounder red or white housing, Volume Medium</v>
      </c>
    </row>
    <row r="199" spans="1:32" ht="13" hidden="1" outlineLevel="1" x14ac:dyDescent="0.25">
      <c r="A199" s="59"/>
      <c r="B199" s="345" t="s">
        <v>877</v>
      </c>
      <c r="C199" s="122">
        <v>0</v>
      </c>
      <c r="D199" s="113" t="s">
        <v>147</v>
      </c>
      <c r="E199" s="123">
        <v>0</v>
      </c>
      <c r="F199" s="115" t="s">
        <v>147</v>
      </c>
      <c r="G199" s="122">
        <v>0</v>
      </c>
      <c r="H199" s="113" t="s">
        <v>147</v>
      </c>
      <c r="I199" s="123">
        <v>0</v>
      </c>
      <c r="J199" s="115" t="s">
        <v>147</v>
      </c>
      <c r="K199" s="122">
        <v>0</v>
      </c>
      <c r="L199" s="113" t="s">
        <v>147</v>
      </c>
      <c r="M199" s="123">
        <v>0</v>
      </c>
      <c r="N199" s="115" t="s">
        <v>147</v>
      </c>
      <c r="O199" s="122">
        <v>0</v>
      </c>
      <c r="P199" s="113" t="s">
        <v>147</v>
      </c>
      <c r="Q199" s="123">
        <v>0</v>
      </c>
      <c r="R199" s="115" t="s">
        <v>147</v>
      </c>
      <c r="S199" s="61"/>
      <c r="U199" s="116">
        <f t="shared" si="6"/>
        <v>1</v>
      </c>
      <c r="V199" s="117">
        <v>1</v>
      </c>
      <c r="W199" s="118">
        <v>0</v>
      </c>
      <c r="X199" s="116">
        <f t="shared" si="7"/>
        <v>12</v>
      </c>
      <c r="Y199" s="117">
        <v>12</v>
      </c>
      <c r="Z199" s="118">
        <v>0</v>
      </c>
      <c r="AA199" s="124">
        <v>1</v>
      </c>
      <c r="AB199" s="125">
        <v>1</v>
      </c>
      <c r="AC199" s="125">
        <v>0</v>
      </c>
      <c r="AD199" s="117">
        <v>1</v>
      </c>
      <c r="AE199" s="117">
        <v>0</v>
      </c>
      <c r="AF199" s="126" t="str">
        <f t="shared" si="3"/>
        <v>FDS225-R, FDS225-W - Voice sounder red or white housing, Volume Low</v>
      </c>
    </row>
    <row r="200" spans="1:32" s="148" customFormat="1" ht="13" hidden="1" outlineLevel="1" x14ac:dyDescent="0.25">
      <c r="A200" s="146"/>
      <c r="B200" s="345" t="s">
        <v>878</v>
      </c>
      <c r="C200" s="122">
        <v>0</v>
      </c>
      <c r="D200" s="113" t="s">
        <v>147</v>
      </c>
      <c r="E200" s="123">
        <v>0</v>
      </c>
      <c r="F200" s="115" t="s">
        <v>147</v>
      </c>
      <c r="G200" s="122">
        <v>0</v>
      </c>
      <c r="H200" s="113" t="s">
        <v>147</v>
      </c>
      <c r="I200" s="123">
        <v>0</v>
      </c>
      <c r="J200" s="115" t="s">
        <v>147</v>
      </c>
      <c r="K200" s="122">
        <v>0</v>
      </c>
      <c r="L200" s="113" t="s">
        <v>147</v>
      </c>
      <c r="M200" s="123">
        <v>0</v>
      </c>
      <c r="N200" s="115" t="s">
        <v>147</v>
      </c>
      <c r="O200" s="122">
        <v>0</v>
      </c>
      <c r="P200" s="113" t="s">
        <v>147</v>
      </c>
      <c r="Q200" s="123">
        <v>0</v>
      </c>
      <c r="R200" s="115" t="s">
        <v>147</v>
      </c>
      <c r="S200" s="147"/>
      <c r="U200" s="116">
        <f t="shared" si="6"/>
        <v>1.25</v>
      </c>
      <c r="V200" s="117">
        <v>1.25</v>
      </c>
      <c r="W200" s="149">
        <v>0</v>
      </c>
      <c r="X200" s="116">
        <f t="shared" si="7"/>
        <v>18</v>
      </c>
      <c r="Y200" s="117">
        <v>18</v>
      </c>
      <c r="Z200" s="149">
        <v>0</v>
      </c>
      <c r="AA200" s="124">
        <v>1</v>
      </c>
      <c r="AB200" s="125">
        <v>1</v>
      </c>
      <c r="AC200" s="125">
        <v>0</v>
      </c>
      <c r="AD200" s="117">
        <v>1</v>
      </c>
      <c r="AE200" s="117">
        <v>0</v>
      </c>
      <c r="AF200" s="126" t="str">
        <f t="shared" si="3"/>
        <v>FDS226, FDS227 - Sounder used without beacon functionality, Volume High</v>
      </c>
    </row>
    <row r="201" spans="1:32" s="148" customFormat="1" ht="13" hidden="1" outlineLevel="1" x14ac:dyDescent="0.25">
      <c r="A201" s="146"/>
      <c r="B201" s="345" t="s">
        <v>879</v>
      </c>
      <c r="C201" s="122">
        <v>0</v>
      </c>
      <c r="D201" s="113" t="s">
        <v>147</v>
      </c>
      <c r="E201" s="123">
        <v>0</v>
      </c>
      <c r="F201" s="115" t="s">
        <v>147</v>
      </c>
      <c r="G201" s="122">
        <v>0</v>
      </c>
      <c r="H201" s="113" t="s">
        <v>147</v>
      </c>
      <c r="I201" s="123">
        <v>0</v>
      </c>
      <c r="J201" s="115" t="s">
        <v>147</v>
      </c>
      <c r="K201" s="122">
        <v>0</v>
      </c>
      <c r="L201" s="113" t="s">
        <v>147</v>
      </c>
      <c r="M201" s="123">
        <v>0</v>
      </c>
      <c r="N201" s="115" t="s">
        <v>147</v>
      </c>
      <c r="O201" s="122">
        <v>0</v>
      </c>
      <c r="P201" s="113" t="s">
        <v>147</v>
      </c>
      <c r="Q201" s="123">
        <v>0</v>
      </c>
      <c r="R201" s="115" t="s">
        <v>147</v>
      </c>
      <c r="S201" s="147"/>
      <c r="U201" s="116">
        <f t="shared" si="6"/>
        <v>1.25</v>
      </c>
      <c r="V201" s="117">
        <v>1.25</v>
      </c>
      <c r="W201" s="149">
        <v>0</v>
      </c>
      <c r="X201" s="116">
        <f t="shared" si="7"/>
        <v>13</v>
      </c>
      <c r="Y201" s="117">
        <v>13</v>
      </c>
      <c r="Z201" s="149">
        <v>0</v>
      </c>
      <c r="AA201" s="124">
        <v>1</v>
      </c>
      <c r="AB201" s="125">
        <v>1</v>
      </c>
      <c r="AC201" s="125">
        <v>0</v>
      </c>
      <c r="AD201" s="117">
        <v>1</v>
      </c>
      <c r="AE201" s="117">
        <v>0</v>
      </c>
      <c r="AF201" s="126" t="str">
        <f t="shared" si="3"/>
        <v>FDS226, FDS227 - Sounder used without beacon functionality, Volume Medium</v>
      </c>
    </row>
    <row r="202" spans="1:32" s="148" customFormat="1" ht="13" hidden="1" outlineLevel="1" x14ac:dyDescent="0.25">
      <c r="A202" s="146"/>
      <c r="B202" s="345" t="s">
        <v>880</v>
      </c>
      <c r="C202" s="122">
        <v>0</v>
      </c>
      <c r="D202" s="113" t="s">
        <v>147</v>
      </c>
      <c r="E202" s="123">
        <v>0</v>
      </c>
      <c r="F202" s="115" t="s">
        <v>147</v>
      </c>
      <c r="G202" s="122">
        <v>0</v>
      </c>
      <c r="H202" s="113" t="s">
        <v>147</v>
      </c>
      <c r="I202" s="123">
        <v>0</v>
      </c>
      <c r="J202" s="115" t="s">
        <v>147</v>
      </c>
      <c r="K202" s="122">
        <v>0</v>
      </c>
      <c r="L202" s="113" t="s">
        <v>147</v>
      </c>
      <c r="M202" s="123">
        <v>0</v>
      </c>
      <c r="N202" s="115" t="s">
        <v>147</v>
      </c>
      <c r="O202" s="122">
        <v>0</v>
      </c>
      <c r="P202" s="113" t="s">
        <v>147</v>
      </c>
      <c r="Q202" s="123">
        <v>0</v>
      </c>
      <c r="R202" s="115" t="s">
        <v>147</v>
      </c>
      <c r="S202" s="147"/>
      <c r="U202" s="116">
        <f t="shared" si="6"/>
        <v>1.25</v>
      </c>
      <c r="V202" s="117">
        <v>1.25</v>
      </c>
      <c r="W202" s="149">
        <v>0</v>
      </c>
      <c r="X202" s="116">
        <f t="shared" si="7"/>
        <v>12</v>
      </c>
      <c r="Y202" s="117">
        <v>12</v>
      </c>
      <c r="Z202" s="149">
        <v>0</v>
      </c>
      <c r="AA202" s="124">
        <v>1</v>
      </c>
      <c r="AB202" s="125">
        <v>1</v>
      </c>
      <c r="AC202" s="125">
        <v>0</v>
      </c>
      <c r="AD202" s="117">
        <v>1</v>
      </c>
      <c r="AE202" s="117">
        <v>0</v>
      </c>
      <c r="AF202" s="126" t="str">
        <f t="shared" si="3"/>
        <v>FDS226, FDS227 - Sounder used without beacon functionality, Volume Low</v>
      </c>
    </row>
    <row r="203" spans="1:32" hidden="1" x14ac:dyDescent="0.25">
      <c r="A203" s="59"/>
      <c r="B203" s="121"/>
      <c r="C203" s="122"/>
      <c r="D203" s="115"/>
      <c r="E203" s="122"/>
      <c r="F203" s="138"/>
      <c r="G203" s="122"/>
      <c r="H203" s="138"/>
      <c r="I203" s="122"/>
      <c r="J203" s="138"/>
      <c r="K203" s="122"/>
      <c r="L203" s="138"/>
      <c r="M203" s="122"/>
      <c r="N203" s="138"/>
      <c r="O203" s="122"/>
      <c r="P203" s="138"/>
      <c r="Q203" s="122"/>
      <c r="R203" s="138"/>
      <c r="S203" s="61"/>
      <c r="U203" s="143"/>
      <c r="V203" s="117"/>
      <c r="W203" s="118"/>
      <c r="X203" s="143"/>
      <c r="Y203" s="117"/>
      <c r="Z203" s="118"/>
      <c r="AA203" s="124"/>
      <c r="AB203" s="125"/>
      <c r="AC203" s="125"/>
      <c r="AD203" s="117"/>
      <c r="AE203" s="117"/>
      <c r="AF203" s="126">
        <f t="shared" si="3"/>
        <v>0</v>
      </c>
    </row>
    <row r="204" spans="1:32" hidden="1" x14ac:dyDescent="0.25">
      <c r="A204" s="59"/>
      <c r="B204" s="121"/>
      <c r="C204" s="122"/>
      <c r="D204" s="115"/>
      <c r="E204" s="122"/>
      <c r="F204" s="138"/>
      <c r="G204" s="122"/>
      <c r="H204" s="138"/>
      <c r="I204" s="122"/>
      <c r="J204" s="138"/>
      <c r="K204" s="122"/>
      <c r="L204" s="138"/>
      <c r="M204" s="122"/>
      <c r="N204" s="138"/>
      <c r="O204" s="122"/>
      <c r="P204" s="138"/>
      <c r="Q204" s="122"/>
      <c r="R204" s="138"/>
      <c r="S204" s="61"/>
      <c r="U204" s="143"/>
      <c r="V204" s="117"/>
      <c r="W204" s="118"/>
      <c r="X204" s="143"/>
      <c r="Y204" s="117"/>
      <c r="Z204" s="118"/>
      <c r="AA204" s="124"/>
      <c r="AB204" s="125"/>
      <c r="AC204" s="125"/>
      <c r="AD204" s="117"/>
      <c r="AE204" s="117"/>
      <c r="AF204" s="126">
        <f t="shared" si="3"/>
        <v>0</v>
      </c>
    </row>
    <row r="205" spans="1:32" hidden="1" x14ac:dyDescent="0.25">
      <c r="A205" s="59"/>
      <c r="B205" s="121"/>
      <c r="C205" s="122"/>
      <c r="D205" s="115"/>
      <c r="E205" s="122"/>
      <c r="F205" s="138"/>
      <c r="G205" s="122"/>
      <c r="H205" s="138"/>
      <c r="I205" s="122"/>
      <c r="J205" s="138"/>
      <c r="K205" s="122"/>
      <c r="L205" s="138"/>
      <c r="M205" s="122"/>
      <c r="N205" s="138"/>
      <c r="O205" s="122"/>
      <c r="P205" s="138"/>
      <c r="Q205" s="122"/>
      <c r="R205" s="138"/>
      <c r="S205" s="61"/>
      <c r="U205" s="143"/>
      <c r="V205" s="117"/>
      <c r="W205" s="118"/>
      <c r="X205" s="143"/>
      <c r="Y205" s="117"/>
      <c r="Z205" s="118"/>
      <c r="AA205" s="124"/>
      <c r="AB205" s="125"/>
      <c r="AC205" s="125"/>
      <c r="AD205" s="117"/>
      <c r="AE205" s="117"/>
      <c r="AF205" s="126">
        <f t="shared" si="3"/>
        <v>0</v>
      </c>
    </row>
    <row r="206" spans="1:32" hidden="1" x14ac:dyDescent="0.25">
      <c r="A206" s="59"/>
      <c r="B206" s="121"/>
      <c r="C206" s="122"/>
      <c r="D206" s="115"/>
      <c r="E206" s="122"/>
      <c r="F206" s="138"/>
      <c r="G206" s="122"/>
      <c r="H206" s="138"/>
      <c r="I206" s="122"/>
      <c r="J206" s="138"/>
      <c r="K206" s="122"/>
      <c r="L206" s="138"/>
      <c r="M206" s="122"/>
      <c r="N206" s="138"/>
      <c r="O206" s="122"/>
      <c r="P206" s="138"/>
      <c r="Q206" s="122"/>
      <c r="R206" s="138"/>
      <c r="S206" s="61"/>
      <c r="U206" s="143"/>
      <c r="V206" s="117"/>
      <c r="W206" s="118"/>
      <c r="X206" s="143"/>
      <c r="Y206" s="117"/>
      <c r="Z206" s="118"/>
      <c r="AA206" s="124"/>
      <c r="AB206" s="125"/>
      <c r="AC206" s="125"/>
      <c r="AD206" s="117"/>
      <c r="AE206" s="117"/>
      <c r="AF206" s="126">
        <f t="shared" si="3"/>
        <v>0</v>
      </c>
    </row>
    <row r="207" spans="1:32" hidden="1" x14ac:dyDescent="0.25">
      <c r="A207" s="59"/>
      <c r="B207" s="121"/>
      <c r="C207" s="122"/>
      <c r="D207" s="115"/>
      <c r="E207" s="122"/>
      <c r="F207" s="138"/>
      <c r="G207" s="122"/>
      <c r="H207" s="138"/>
      <c r="I207" s="122"/>
      <c r="J207" s="138"/>
      <c r="K207" s="122"/>
      <c r="L207" s="138"/>
      <c r="M207" s="122"/>
      <c r="N207" s="138"/>
      <c r="O207" s="122"/>
      <c r="P207" s="138"/>
      <c r="Q207" s="122"/>
      <c r="R207" s="138"/>
      <c r="S207" s="61"/>
      <c r="U207" s="143"/>
      <c r="V207" s="117"/>
      <c r="W207" s="118"/>
      <c r="X207" s="143"/>
      <c r="Y207" s="117"/>
      <c r="Z207" s="118"/>
      <c r="AA207" s="124"/>
      <c r="AB207" s="125"/>
      <c r="AC207" s="125"/>
      <c r="AD207" s="117"/>
      <c r="AE207" s="117"/>
      <c r="AF207" s="126">
        <f t="shared" si="3"/>
        <v>0</v>
      </c>
    </row>
    <row r="208" spans="1:32" hidden="1" x14ac:dyDescent="0.25">
      <c r="A208" s="59"/>
      <c r="B208" s="121"/>
      <c r="C208" s="122"/>
      <c r="D208" s="115"/>
      <c r="E208" s="122"/>
      <c r="F208" s="138"/>
      <c r="G208" s="122"/>
      <c r="H208" s="138"/>
      <c r="I208" s="122"/>
      <c r="J208" s="138"/>
      <c r="K208" s="122"/>
      <c r="L208" s="138"/>
      <c r="M208" s="122"/>
      <c r="N208" s="138"/>
      <c r="O208" s="122"/>
      <c r="P208" s="138"/>
      <c r="Q208" s="122"/>
      <c r="R208" s="138"/>
      <c r="S208" s="61"/>
      <c r="U208" s="143"/>
      <c r="V208" s="117"/>
      <c r="W208" s="118"/>
      <c r="X208" s="143"/>
      <c r="Y208" s="117"/>
      <c r="Z208" s="118"/>
      <c r="AA208" s="124"/>
      <c r="AB208" s="125"/>
      <c r="AC208" s="125"/>
      <c r="AD208" s="117"/>
      <c r="AE208" s="117"/>
      <c r="AF208" s="126">
        <f t="shared" si="3"/>
        <v>0</v>
      </c>
    </row>
    <row r="209" spans="1:32" hidden="1" x14ac:dyDescent="0.25">
      <c r="A209" s="59"/>
      <c r="B209" s="121"/>
      <c r="C209" s="122"/>
      <c r="D209" s="115"/>
      <c r="E209" s="122"/>
      <c r="F209" s="138"/>
      <c r="G209" s="122"/>
      <c r="H209" s="138"/>
      <c r="I209" s="122"/>
      <c r="J209" s="138"/>
      <c r="K209" s="122"/>
      <c r="L209" s="138"/>
      <c r="M209" s="122"/>
      <c r="N209" s="138"/>
      <c r="O209" s="122"/>
      <c r="P209" s="138"/>
      <c r="Q209" s="122"/>
      <c r="R209" s="138"/>
      <c r="S209" s="61"/>
      <c r="U209" s="143"/>
      <c r="V209" s="117"/>
      <c r="W209" s="118"/>
      <c r="X209" s="143"/>
      <c r="Y209" s="117"/>
      <c r="Z209" s="118"/>
      <c r="AA209" s="124"/>
      <c r="AB209" s="125"/>
      <c r="AC209" s="125"/>
      <c r="AD209" s="117"/>
      <c r="AE209" s="117"/>
      <c r="AF209" s="126">
        <f t="shared" si="3"/>
        <v>0</v>
      </c>
    </row>
    <row r="210" spans="1:32" hidden="1" x14ac:dyDescent="0.25">
      <c r="A210" s="59"/>
      <c r="B210" s="121"/>
      <c r="C210" s="122"/>
      <c r="D210" s="115"/>
      <c r="E210" s="122"/>
      <c r="F210" s="138"/>
      <c r="G210" s="122"/>
      <c r="H210" s="138"/>
      <c r="I210" s="122"/>
      <c r="J210" s="138"/>
      <c r="K210" s="122"/>
      <c r="L210" s="138"/>
      <c r="M210" s="122"/>
      <c r="N210" s="138"/>
      <c r="O210" s="122"/>
      <c r="P210" s="138"/>
      <c r="Q210" s="122"/>
      <c r="R210" s="138"/>
      <c r="S210" s="61"/>
      <c r="U210" s="143"/>
      <c r="V210" s="117"/>
      <c r="W210" s="118"/>
      <c r="X210" s="143"/>
      <c r="Y210" s="117"/>
      <c r="Z210" s="118"/>
      <c r="AA210" s="124"/>
      <c r="AB210" s="125"/>
      <c r="AC210" s="125"/>
      <c r="AD210" s="117"/>
      <c r="AE210" s="117"/>
      <c r="AF210" s="126">
        <f t="shared" si="3"/>
        <v>0</v>
      </c>
    </row>
    <row r="211" spans="1:32" hidden="1" x14ac:dyDescent="0.25">
      <c r="A211" s="59"/>
      <c r="B211" s="121"/>
      <c r="C211" s="122"/>
      <c r="D211" s="115"/>
      <c r="E211" s="122"/>
      <c r="F211" s="138"/>
      <c r="G211" s="122"/>
      <c r="H211" s="138"/>
      <c r="I211" s="122"/>
      <c r="J211" s="138"/>
      <c r="K211" s="122"/>
      <c r="L211" s="138"/>
      <c r="M211" s="122"/>
      <c r="N211" s="138"/>
      <c r="O211" s="122"/>
      <c r="P211" s="138"/>
      <c r="Q211" s="122"/>
      <c r="R211" s="138"/>
      <c r="S211" s="61"/>
      <c r="U211" s="143"/>
      <c r="V211" s="117"/>
      <c r="W211" s="118"/>
      <c r="X211" s="143"/>
      <c r="Y211" s="117"/>
      <c r="Z211" s="118"/>
      <c r="AA211" s="124"/>
      <c r="AB211" s="125"/>
      <c r="AC211" s="125"/>
      <c r="AD211" s="117"/>
      <c r="AE211" s="117"/>
      <c r="AF211" s="126">
        <f t="shared" si="3"/>
        <v>0</v>
      </c>
    </row>
    <row r="212" spans="1:32" hidden="1" x14ac:dyDescent="0.25">
      <c r="A212" s="59"/>
      <c r="B212" s="121"/>
      <c r="C212" s="122"/>
      <c r="D212" s="115"/>
      <c r="E212" s="122"/>
      <c r="F212" s="138"/>
      <c r="G212" s="122"/>
      <c r="H212" s="138"/>
      <c r="I212" s="122"/>
      <c r="J212" s="138"/>
      <c r="K212" s="122"/>
      <c r="L212" s="138"/>
      <c r="M212" s="122"/>
      <c r="N212" s="138"/>
      <c r="O212" s="122"/>
      <c r="P212" s="138"/>
      <c r="Q212" s="122"/>
      <c r="R212" s="138"/>
      <c r="S212" s="61"/>
      <c r="U212" s="143"/>
      <c r="V212" s="117"/>
      <c r="W212" s="118"/>
      <c r="X212" s="143"/>
      <c r="Y212" s="117"/>
      <c r="Z212" s="118"/>
      <c r="AA212" s="124"/>
      <c r="AB212" s="125"/>
      <c r="AC212" s="125"/>
      <c r="AD212" s="117"/>
      <c r="AE212" s="117"/>
      <c r="AF212" s="126">
        <f t="shared" si="3"/>
        <v>0</v>
      </c>
    </row>
    <row r="213" spans="1:32" ht="25.5" collapsed="1" x14ac:dyDescent="0.25">
      <c r="A213" s="59"/>
      <c r="B213" s="664" t="s">
        <v>972</v>
      </c>
      <c r="C213" s="130"/>
      <c r="D213" s="130"/>
      <c r="E213" s="130"/>
      <c r="F213" s="130"/>
      <c r="G213" s="130"/>
      <c r="H213" s="130"/>
      <c r="I213" s="130"/>
      <c r="J213" s="130"/>
      <c r="K213" s="130"/>
      <c r="L213" s="130"/>
      <c r="M213" s="130"/>
      <c r="N213" s="130"/>
      <c r="O213" s="130"/>
      <c r="P213" s="130"/>
      <c r="Q213" s="130"/>
      <c r="R213" s="131"/>
      <c r="S213" s="94"/>
      <c r="U213" s="145"/>
      <c r="V213" s="136"/>
      <c r="W213" s="134"/>
      <c r="X213" s="144"/>
      <c r="Y213" s="133"/>
      <c r="Z213" s="134"/>
      <c r="AA213" s="135"/>
      <c r="AB213" s="136"/>
      <c r="AC213" s="136"/>
      <c r="AD213" s="136"/>
      <c r="AE213" s="136"/>
      <c r="AF213" s="137" t="str">
        <f t="shared" si="3"/>
        <v>Alarm devices - Sound and Light (Beacon)
Volume settings is assumed as "high" for calculation.</v>
      </c>
    </row>
    <row r="214" spans="1:32" ht="13" hidden="1" outlineLevel="1" x14ac:dyDescent="0.25">
      <c r="A214" s="59"/>
      <c r="B214" s="346" t="s">
        <v>881</v>
      </c>
      <c r="C214" s="122">
        <v>0</v>
      </c>
      <c r="D214" s="113" t="s">
        <v>780</v>
      </c>
      <c r="E214" s="123">
        <v>0</v>
      </c>
      <c r="F214" s="115" t="s">
        <v>147</v>
      </c>
      <c r="G214" s="122">
        <v>0</v>
      </c>
      <c r="H214" s="113" t="s">
        <v>147</v>
      </c>
      <c r="I214" s="123">
        <v>0</v>
      </c>
      <c r="J214" s="115" t="s">
        <v>147</v>
      </c>
      <c r="K214" s="122">
        <v>0</v>
      </c>
      <c r="L214" s="113" t="s">
        <v>147</v>
      </c>
      <c r="M214" s="123">
        <v>0</v>
      </c>
      <c r="N214" s="115" t="s">
        <v>147</v>
      </c>
      <c r="O214" s="122">
        <v>0</v>
      </c>
      <c r="P214" s="113" t="s">
        <v>147</v>
      </c>
      <c r="Q214" s="123">
        <v>0</v>
      </c>
      <c r="R214" s="115" t="s">
        <v>147</v>
      </c>
      <c r="S214" s="61"/>
      <c r="U214" s="116">
        <f t="shared" ref="U214:U240" si="8">V214+W214</f>
        <v>1</v>
      </c>
      <c r="V214" s="117">
        <v>1</v>
      </c>
      <c r="W214" s="118">
        <v>0</v>
      </c>
      <c r="X214" s="116">
        <f t="shared" ref="X214:X240" si="9">Y214+Z214</f>
        <v>30</v>
      </c>
      <c r="Y214" s="117">
        <v>30</v>
      </c>
      <c r="Z214" s="118">
        <v>0</v>
      </c>
      <c r="AA214" s="124">
        <v>1</v>
      </c>
      <c r="AB214" s="125">
        <v>1</v>
      </c>
      <c r="AC214" s="125">
        <v>0</v>
      </c>
      <c r="AD214" s="117">
        <v>0</v>
      </c>
      <c r="AE214" s="117">
        <v>0</v>
      </c>
      <c r="AF214" s="126" t="str">
        <f t="shared" si="3"/>
        <v>FDS229-A, FDS229-R - Alarm sounder and beacon, amber or red, Light and Volume High</v>
      </c>
    </row>
    <row r="215" spans="1:32" ht="13" hidden="1" outlineLevel="1" x14ac:dyDescent="0.25">
      <c r="A215" s="59"/>
      <c r="B215" s="121" t="s">
        <v>882</v>
      </c>
      <c r="C215" s="122">
        <v>0</v>
      </c>
      <c r="D215" s="113" t="s">
        <v>147</v>
      </c>
      <c r="E215" s="123">
        <v>0</v>
      </c>
      <c r="F215" s="115" t="s">
        <v>147</v>
      </c>
      <c r="G215" s="122">
        <v>0</v>
      </c>
      <c r="H215" s="113" t="s">
        <v>147</v>
      </c>
      <c r="I215" s="123">
        <v>0</v>
      </c>
      <c r="J215" s="115" t="s">
        <v>147</v>
      </c>
      <c r="K215" s="122">
        <v>0</v>
      </c>
      <c r="L215" s="113" t="s">
        <v>147</v>
      </c>
      <c r="M215" s="123">
        <v>0</v>
      </c>
      <c r="N215" s="115" t="s">
        <v>147</v>
      </c>
      <c r="O215" s="122">
        <v>0</v>
      </c>
      <c r="P215" s="113" t="s">
        <v>147</v>
      </c>
      <c r="Q215" s="123">
        <v>0</v>
      </c>
      <c r="R215" s="115" t="s">
        <v>147</v>
      </c>
      <c r="S215" s="61"/>
      <c r="U215" s="116">
        <f t="shared" si="8"/>
        <v>1.25</v>
      </c>
      <c r="V215" s="117">
        <v>1.25</v>
      </c>
      <c r="W215" s="118">
        <v>0</v>
      </c>
      <c r="X215" s="116">
        <f t="shared" si="9"/>
        <v>111</v>
      </c>
      <c r="Y215" s="117">
        <v>22</v>
      </c>
      <c r="Z215" s="118">
        <v>89</v>
      </c>
      <c r="AA215" s="124">
        <v>1</v>
      </c>
      <c r="AB215" s="125">
        <v>1</v>
      </c>
      <c r="AC215" s="125">
        <v>0</v>
      </c>
      <c r="AD215" s="117">
        <v>1</v>
      </c>
      <c r="AE215" s="117">
        <v>1</v>
      </c>
      <c r="AF215" s="126" t="str">
        <f t="shared" si="3"/>
        <v>FDS226 - Sounder beacon, Red Light, High Intensity</v>
      </c>
    </row>
    <row r="216" spans="1:32" ht="13" hidden="1" outlineLevel="1" x14ac:dyDescent="0.25">
      <c r="A216" s="59"/>
      <c r="B216" s="121" t="s">
        <v>883</v>
      </c>
      <c r="C216" s="122">
        <v>0</v>
      </c>
      <c r="D216" s="113" t="s">
        <v>147</v>
      </c>
      <c r="E216" s="123">
        <v>0</v>
      </c>
      <c r="F216" s="115" t="s">
        <v>147</v>
      </c>
      <c r="G216" s="122">
        <v>0</v>
      </c>
      <c r="H216" s="113" t="s">
        <v>147</v>
      </c>
      <c r="I216" s="123">
        <v>0</v>
      </c>
      <c r="J216" s="115" t="s">
        <v>147</v>
      </c>
      <c r="K216" s="122">
        <v>0</v>
      </c>
      <c r="L216" s="113" t="s">
        <v>147</v>
      </c>
      <c r="M216" s="123">
        <v>0</v>
      </c>
      <c r="N216" s="115" t="s">
        <v>147</v>
      </c>
      <c r="O216" s="122">
        <v>0</v>
      </c>
      <c r="P216" s="113" t="s">
        <v>147</v>
      </c>
      <c r="Q216" s="123">
        <v>0</v>
      </c>
      <c r="R216" s="115" t="s">
        <v>147</v>
      </c>
      <c r="S216" s="61"/>
      <c r="U216" s="116">
        <f t="shared" si="8"/>
        <v>1.25</v>
      </c>
      <c r="V216" s="117">
        <v>1.25</v>
      </c>
      <c r="W216" s="118">
        <v>0</v>
      </c>
      <c r="X216" s="116">
        <f t="shared" si="9"/>
        <v>80</v>
      </c>
      <c r="Y216" s="117">
        <v>22</v>
      </c>
      <c r="Z216" s="118">
        <v>58</v>
      </c>
      <c r="AA216" s="124">
        <v>1</v>
      </c>
      <c r="AB216" s="125">
        <v>1</v>
      </c>
      <c r="AC216" s="125">
        <v>0</v>
      </c>
      <c r="AD216" s="117">
        <v>1</v>
      </c>
      <c r="AE216" s="117">
        <v>1</v>
      </c>
      <c r="AF216" s="126" t="str">
        <f t="shared" ref="AF216:AF279" si="10">B216</f>
        <v>FDS226 - Sounder beacon, Red Light, Medium Intensity</v>
      </c>
    </row>
    <row r="217" spans="1:32" ht="13" hidden="1" outlineLevel="1" x14ac:dyDescent="0.25">
      <c r="A217" s="59"/>
      <c r="B217" s="121" t="s">
        <v>884</v>
      </c>
      <c r="C217" s="122">
        <v>0</v>
      </c>
      <c r="D217" s="113" t="s">
        <v>147</v>
      </c>
      <c r="E217" s="123">
        <v>0</v>
      </c>
      <c r="F217" s="115" t="s">
        <v>147</v>
      </c>
      <c r="G217" s="122">
        <v>0</v>
      </c>
      <c r="H217" s="113" t="s">
        <v>147</v>
      </c>
      <c r="I217" s="123">
        <v>0</v>
      </c>
      <c r="J217" s="115" t="s">
        <v>147</v>
      </c>
      <c r="K217" s="122">
        <v>0</v>
      </c>
      <c r="L217" s="113" t="s">
        <v>147</v>
      </c>
      <c r="M217" s="123">
        <v>0</v>
      </c>
      <c r="N217" s="115" t="s">
        <v>147</v>
      </c>
      <c r="O217" s="122">
        <v>0</v>
      </c>
      <c r="P217" s="113" t="s">
        <v>147</v>
      </c>
      <c r="Q217" s="123">
        <v>0</v>
      </c>
      <c r="R217" s="115" t="s">
        <v>147</v>
      </c>
      <c r="S217" s="61"/>
      <c r="U217" s="116">
        <f t="shared" si="8"/>
        <v>1.25</v>
      </c>
      <c r="V217" s="117">
        <v>1.25</v>
      </c>
      <c r="W217" s="118">
        <v>0</v>
      </c>
      <c r="X217" s="116">
        <f t="shared" si="9"/>
        <v>64</v>
      </c>
      <c r="Y217" s="117">
        <v>22</v>
      </c>
      <c r="Z217" s="118">
        <v>42</v>
      </c>
      <c r="AA217" s="124">
        <v>1</v>
      </c>
      <c r="AB217" s="125">
        <v>1</v>
      </c>
      <c r="AC217" s="125">
        <v>0</v>
      </c>
      <c r="AD217" s="117">
        <v>1</v>
      </c>
      <c r="AE217" s="117">
        <v>1</v>
      </c>
      <c r="AF217" s="126" t="str">
        <f t="shared" si="10"/>
        <v>FDS226 - Sounder beacon, Red Light, Low Intensity</v>
      </c>
    </row>
    <row r="218" spans="1:32" ht="13" hidden="1" outlineLevel="1" x14ac:dyDescent="0.25">
      <c r="A218" s="59"/>
      <c r="B218" s="121" t="s">
        <v>885</v>
      </c>
      <c r="C218" s="122">
        <v>0</v>
      </c>
      <c r="D218" s="113" t="s">
        <v>147</v>
      </c>
      <c r="E218" s="123">
        <v>0</v>
      </c>
      <c r="F218" s="115" t="s">
        <v>147</v>
      </c>
      <c r="G218" s="122">
        <v>0</v>
      </c>
      <c r="H218" s="113" t="s">
        <v>147</v>
      </c>
      <c r="I218" s="123">
        <v>0</v>
      </c>
      <c r="J218" s="115" t="s">
        <v>147</v>
      </c>
      <c r="K218" s="122">
        <v>0</v>
      </c>
      <c r="L218" s="113" t="s">
        <v>147</v>
      </c>
      <c r="M218" s="123">
        <v>0</v>
      </c>
      <c r="N218" s="115" t="s">
        <v>147</v>
      </c>
      <c r="O218" s="122">
        <v>0</v>
      </c>
      <c r="P218" s="113" t="s">
        <v>147</v>
      </c>
      <c r="Q218" s="123">
        <v>0</v>
      </c>
      <c r="R218" s="115" t="s">
        <v>147</v>
      </c>
      <c r="S218" s="61"/>
      <c r="U218" s="116">
        <f t="shared" si="8"/>
        <v>1.25</v>
      </c>
      <c r="V218" s="117">
        <v>1.25</v>
      </c>
      <c r="W218" s="118">
        <v>0</v>
      </c>
      <c r="X218" s="116">
        <f t="shared" si="9"/>
        <v>30</v>
      </c>
      <c r="Y218" s="117">
        <v>22</v>
      </c>
      <c r="Z218" s="118">
        <v>8</v>
      </c>
      <c r="AA218" s="124">
        <v>1</v>
      </c>
      <c r="AB218" s="125">
        <v>1</v>
      </c>
      <c r="AC218" s="125">
        <v>0</v>
      </c>
      <c r="AD218" s="117">
        <v>1</v>
      </c>
      <c r="AE218" s="117">
        <v>0</v>
      </c>
      <c r="AF218" s="126" t="str">
        <f t="shared" si="10"/>
        <v>FDS226 - Sounder beacon, Red Light, Indicator Mode</v>
      </c>
    </row>
    <row r="219" spans="1:32" ht="13" hidden="1" outlineLevel="1" x14ac:dyDescent="0.25">
      <c r="A219" s="59"/>
      <c r="B219" s="121" t="s">
        <v>886</v>
      </c>
      <c r="C219" s="122">
        <v>0</v>
      </c>
      <c r="D219" s="113" t="s">
        <v>780</v>
      </c>
      <c r="E219" s="123">
        <v>0</v>
      </c>
      <c r="F219" s="115" t="s">
        <v>147</v>
      </c>
      <c r="G219" s="122">
        <v>0</v>
      </c>
      <c r="H219" s="113" t="s">
        <v>147</v>
      </c>
      <c r="I219" s="123">
        <v>0</v>
      </c>
      <c r="J219" s="115" t="s">
        <v>147</v>
      </c>
      <c r="K219" s="122">
        <v>0</v>
      </c>
      <c r="L219" s="113" t="s">
        <v>147</v>
      </c>
      <c r="M219" s="123">
        <v>0</v>
      </c>
      <c r="N219" s="115" t="s">
        <v>147</v>
      </c>
      <c r="O219" s="122">
        <v>0</v>
      </c>
      <c r="P219" s="113" t="s">
        <v>147</v>
      </c>
      <c r="Q219" s="123">
        <v>0</v>
      </c>
      <c r="R219" s="115" t="s">
        <v>147</v>
      </c>
      <c r="S219" s="61"/>
      <c r="U219" s="116">
        <f t="shared" si="8"/>
        <v>1.25</v>
      </c>
      <c r="V219" s="117">
        <v>1.25</v>
      </c>
      <c r="W219" s="118">
        <v>0</v>
      </c>
      <c r="X219" s="116">
        <f t="shared" si="9"/>
        <v>108</v>
      </c>
      <c r="Y219" s="117">
        <v>22</v>
      </c>
      <c r="Z219" s="118">
        <v>86</v>
      </c>
      <c r="AA219" s="124">
        <v>1</v>
      </c>
      <c r="AB219" s="125">
        <v>1</v>
      </c>
      <c r="AC219" s="125">
        <v>0</v>
      </c>
      <c r="AD219" s="117">
        <v>1</v>
      </c>
      <c r="AE219" s="117">
        <v>1</v>
      </c>
      <c r="AF219" s="126" t="str">
        <f t="shared" si="10"/>
        <v>FDS226 - Sounder beacon, White Light, High Intensity</v>
      </c>
    </row>
    <row r="220" spans="1:32" ht="13" hidden="1" outlineLevel="1" x14ac:dyDescent="0.25">
      <c r="A220" s="59"/>
      <c r="B220" s="121" t="s">
        <v>887</v>
      </c>
      <c r="C220" s="122">
        <v>0</v>
      </c>
      <c r="D220" s="113" t="s">
        <v>147</v>
      </c>
      <c r="E220" s="123">
        <v>0</v>
      </c>
      <c r="F220" s="115" t="s">
        <v>147</v>
      </c>
      <c r="G220" s="122">
        <v>0</v>
      </c>
      <c r="H220" s="113" t="s">
        <v>147</v>
      </c>
      <c r="I220" s="123">
        <v>0</v>
      </c>
      <c r="J220" s="115" t="s">
        <v>147</v>
      </c>
      <c r="K220" s="122">
        <v>0</v>
      </c>
      <c r="L220" s="113" t="s">
        <v>147</v>
      </c>
      <c r="M220" s="123">
        <v>0</v>
      </c>
      <c r="N220" s="115" t="s">
        <v>147</v>
      </c>
      <c r="O220" s="122">
        <v>0</v>
      </c>
      <c r="P220" s="113" t="s">
        <v>147</v>
      </c>
      <c r="Q220" s="123">
        <v>0</v>
      </c>
      <c r="R220" s="115" t="s">
        <v>147</v>
      </c>
      <c r="S220" s="61"/>
      <c r="U220" s="116">
        <f t="shared" si="8"/>
        <v>1.25</v>
      </c>
      <c r="V220" s="117">
        <v>1.25</v>
      </c>
      <c r="W220" s="118">
        <v>0</v>
      </c>
      <c r="X220" s="116">
        <f t="shared" si="9"/>
        <v>62</v>
      </c>
      <c r="Y220" s="117">
        <v>22</v>
      </c>
      <c r="Z220" s="118">
        <v>40</v>
      </c>
      <c r="AA220" s="124">
        <v>1</v>
      </c>
      <c r="AB220" s="125">
        <v>1</v>
      </c>
      <c r="AC220" s="125">
        <v>0</v>
      </c>
      <c r="AD220" s="117">
        <v>1</v>
      </c>
      <c r="AE220" s="117">
        <v>1</v>
      </c>
      <c r="AF220" s="126" t="str">
        <f t="shared" si="10"/>
        <v>FDS226 - Sounder beacon, White Light, Medium Intensity</v>
      </c>
    </row>
    <row r="221" spans="1:32" ht="13" hidden="1" outlineLevel="1" x14ac:dyDescent="0.25">
      <c r="A221" s="59"/>
      <c r="B221" s="121" t="s">
        <v>888</v>
      </c>
      <c r="C221" s="122">
        <v>0</v>
      </c>
      <c r="D221" s="113" t="s">
        <v>147</v>
      </c>
      <c r="E221" s="123">
        <v>0</v>
      </c>
      <c r="F221" s="115" t="s">
        <v>147</v>
      </c>
      <c r="G221" s="122">
        <v>0</v>
      </c>
      <c r="H221" s="113" t="s">
        <v>147</v>
      </c>
      <c r="I221" s="123">
        <v>0</v>
      </c>
      <c r="J221" s="115" t="s">
        <v>147</v>
      </c>
      <c r="K221" s="122">
        <v>0</v>
      </c>
      <c r="L221" s="113" t="s">
        <v>147</v>
      </c>
      <c r="M221" s="123">
        <v>0</v>
      </c>
      <c r="N221" s="115" t="s">
        <v>147</v>
      </c>
      <c r="O221" s="122">
        <v>0</v>
      </c>
      <c r="P221" s="113" t="s">
        <v>147</v>
      </c>
      <c r="Q221" s="123">
        <v>0</v>
      </c>
      <c r="R221" s="115" t="s">
        <v>147</v>
      </c>
      <c r="S221" s="61"/>
      <c r="U221" s="116">
        <f t="shared" si="8"/>
        <v>1.25</v>
      </c>
      <c r="V221" s="117">
        <v>1.25</v>
      </c>
      <c r="W221" s="118">
        <v>0</v>
      </c>
      <c r="X221" s="116">
        <f t="shared" si="9"/>
        <v>51</v>
      </c>
      <c r="Y221" s="117">
        <v>22</v>
      </c>
      <c r="Z221" s="118">
        <v>29</v>
      </c>
      <c r="AA221" s="124">
        <v>1</v>
      </c>
      <c r="AB221" s="125">
        <v>1</v>
      </c>
      <c r="AC221" s="125">
        <v>0</v>
      </c>
      <c r="AD221" s="117">
        <v>1</v>
      </c>
      <c r="AE221" s="117">
        <v>1</v>
      </c>
      <c r="AF221" s="126" t="str">
        <f t="shared" si="10"/>
        <v>FDS226 - Sounder beacon, White Light, Low Intensity</v>
      </c>
    </row>
    <row r="222" spans="1:32" ht="13" hidden="1" outlineLevel="1" x14ac:dyDescent="0.25">
      <c r="A222" s="59"/>
      <c r="B222" s="121" t="s">
        <v>889</v>
      </c>
      <c r="C222" s="122">
        <v>0</v>
      </c>
      <c r="D222" s="113" t="s">
        <v>147</v>
      </c>
      <c r="E222" s="123">
        <v>0</v>
      </c>
      <c r="F222" s="115" t="s">
        <v>147</v>
      </c>
      <c r="G222" s="122">
        <v>0</v>
      </c>
      <c r="H222" s="113" t="s">
        <v>147</v>
      </c>
      <c r="I222" s="123">
        <v>0</v>
      </c>
      <c r="J222" s="115" t="s">
        <v>147</v>
      </c>
      <c r="K222" s="122">
        <v>0</v>
      </c>
      <c r="L222" s="113" t="s">
        <v>147</v>
      </c>
      <c r="M222" s="123">
        <v>0</v>
      </c>
      <c r="N222" s="115" t="s">
        <v>147</v>
      </c>
      <c r="O222" s="122">
        <v>0</v>
      </c>
      <c r="P222" s="113" t="s">
        <v>147</v>
      </c>
      <c r="Q222" s="123">
        <v>0</v>
      </c>
      <c r="R222" s="115" t="s">
        <v>147</v>
      </c>
      <c r="S222" s="61"/>
      <c r="U222" s="116">
        <f t="shared" si="8"/>
        <v>1.25</v>
      </c>
      <c r="V222" s="117">
        <v>1.25</v>
      </c>
      <c r="W222" s="118">
        <v>0</v>
      </c>
      <c r="X222" s="116">
        <f t="shared" si="9"/>
        <v>30</v>
      </c>
      <c r="Y222" s="117">
        <v>22</v>
      </c>
      <c r="Z222" s="118">
        <v>8</v>
      </c>
      <c r="AA222" s="124">
        <v>1</v>
      </c>
      <c r="AB222" s="125">
        <v>1</v>
      </c>
      <c r="AC222" s="125">
        <v>0</v>
      </c>
      <c r="AD222" s="117">
        <v>1</v>
      </c>
      <c r="AE222" s="117">
        <v>0</v>
      </c>
      <c r="AF222" s="126" t="str">
        <f t="shared" si="10"/>
        <v>FDS226 - Sounder beacon, White Light, Indicator Mode</v>
      </c>
    </row>
    <row r="223" spans="1:32" ht="13" hidden="1" outlineLevel="1" x14ac:dyDescent="0.25">
      <c r="A223" s="59"/>
      <c r="B223" s="121" t="s">
        <v>890</v>
      </c>
      <c r="C223" s="122">
        <v>0</v>
      </c>
      <c r="D223" s="113" t="s">
        <v>147</v>
      </c>
      <c r="E223" s="123">
        <v>0</v>
      </c>
      <c r="F223" s="115" t="s">
        <v>147</v>
      </c>
      <c r="G223" s="122">
        <v>0</v>
      </c>
      <c r="H223" s="113" t="s">
        <v>147</v>
      </c>
      <c r="I223" s="123">
        <v>0</v>
      </c>
      <c r="J223" s="115" t="s">
        <v>147</v>
      </c>
      <c r="K223" s="122">
        <v>0</v>
      </c>
      <c r="L223" s="113" t="s">
        <v>147</v>
      </c>
      <c r="M223" s="123">
        <v>0</v>
      </c>
      <c r="N223" s="115" t="s">
        <v>147</v>
      </c>
      <c r="O223" s="122">
        <v>0</v>
      </c>
      <c r="P223" s="113" t="s">
        <v>147</v>
      </c>
      <c r="Q223" s="123">
        <v>0</v>
      </c>
      <c r="R223" s="115" t="s">
        <v>147</v>
      </c>
      <c r="S223" s="61"/>
      <c r="U223" s="116">
        <f t="shared" si="8"/>
        <v>1.25</v>
      </c>
      <c r="V223" s="117">
        <v>1.25</v>
      </c>
      <c r="W223" s="118">
        <v>0</v>
      </c>
      <c r="X223" s="116">
        <f t="shared" si="9"/>
        <v>116</v>
      </c>
      <c r="Y223" s="117">
        <v>23</v>
      </c>
      <c r="Z223" s="118">
        <v>93</v>
      </c>
      <c r="AA223" s="124">
        <v>1</v>
      </c>
      <c r="AB223" s="125">
        <v>1</v>
      </c>
      <c r="AC223" s="125">
        <v>0</v>
      </c>
      <c r="AD223" s="117">
        <v>1</v>
      </c>
      <c r="AE223" s="117">
        <v>1</v>
      </c>
      <c r="AF223" s="126" t="str">
        <f t="shared" si="10"/>
        <v>FDSB226 - Sounder beacon base, Red Light, High Intensity</v>
      </c>
    </row>
    <row r="224" spans="1:32" ht="13" hidden="1" outlineLevel="1" x14ac:dyDescent="0.25">
      <c r="A224" s="59"/>
      <c r="B224" s="121" t="s">
        <v>891</v>
      </c>
      <c r="C224" s="122">
        <v>0</v>
      </c>
      <c r="D224" s="113" t="s">
        <v>147</v>
      </c>
      <c r="E224" s="123">
        <v>0</v>
      </c>
      <c r="F224" s="115" t="s">
        <v>147</v>
      </c>
      <c r="G224" s="122">
        <v>0</v>
      </c>
      <c r="H224" s="113" t="s">
        <v>147</v>
      </c>
      <c r="I224" s="123">
        <v>0</v>
      </c>
      <c r="J224" s="115" t="s">
        <v>147</v>
      </c>
      <c r="K224" s="122">
        <v>0</v>
      </c>
      <c r="L224" s="113" t="s">
        <v>147</v>
      </c>
      <c r="M224" s="123">
        <v>0</v>
      </c>
      <c r="N224" s="115" t="s">
        <v>147</v>
      </c>
      <c r="O224" s="122">
        <v>0</v>
      </c>
      <c r="P224" s="113" t="s">
        <v>147</v>
      </c>
      <c r="Q224" s="123">
        <v>0</v>
      </c>
      <c r="R224" s="115" t="s">
        <v>147</v>
      </c>
      <c r="S224" s="61"/>
      <c r="U224" s="116">
        <f t="shared" si="8"/>
        <v>1.25</v>
      </c>
      <c r="V224" s="117">
        <v>1.25</v>
      </c>
      <c r="W224" s="118">
        <v>0</v>
      </c>
      <c r="X224" s="116">
        <f t="shared" si="9"/>
        <v>88</v>
      </c>
      <c r="Y224" s="117">
        <v>23</v>
      </c>
      <c r="Z224" s="118">
        <v>65</v>
      </c>
      <c r="AA224" s="124">
        <v>1</v>
      </c>
      <c r="AB224" s="125">
        <v>1</v>
      </c>
      <c r="AC224" s="125">
        <v>0</v>
      </c>
      <c r="AD224" s="117">
        <v>1</v>
      </c>
      <c r="AE224" s="117">
        <v>1</v>
      </c>
      <c r="AF224" s="126" t="str">
        <f t="shared" si="10"/>
        <v>FDSB226 - Sounder beacon base, Red Light, Medium Intensity</v>
      </c>
    </row>
    <row r="225" spans="1:32" ht="13" hidden="1" outlineLevel="1" x14ac:dyDescent="0.25">
      <c r="A225" s="59"/>
      <c r="B225" s="121" t="s">
        <v>892</v>
      </c>
      <c r="C225" s="122">
        <v>0</v>
      </c>
      <c r="D225" s="113" t="s">
        <v>780</v>
      </c>
      <c r="E225" s="123">
        <v>0</v>
      </c>
      <c r="F225" s="115" t="s">
        <v>147</v>
      </c>
      <c r="G225" s="122">
        <v>0</v>
      </c>
      <c r="H225" s="113" t="s">
        <v>147</v>
      </c>
      <c r="I225" s="123">
        <v>0</v>
      </c>
      <c r="J225" s="115" t="s">
        <v>147</v>
      </c>
      <c r="K225" s="122">
        <v>0</v>
      </c>
      <c r="L225" s="113" t="s">
        <v>147</v>
      </c>
      <c r="M225" s="123">
        <v>0</v>
      </c>
      <c r="N225" s="115" t="s">
        <v>147</v>
      </c>
      <c r="O225" s="122">
        <v>0</v>
      </c>
      <c r="P225" s="113" t="s">
        <v>147</v>
      </c>
      <c r="Q225" s="123">
        <v>0</v>
      </c>
      <c r="R225" s="115" t="s">
        <v>147</v>
      </c>
      <c r="S225" s="61"/>
      <c r="U225" s="116">
        <f t="shared" si="8"/>
        <v>1.25</v>
      </c>
      <c r="V225" s="117">
        <v>1.25</v>
      </c>
      <c r="W225" s="118">
        <v>0</v>
      </c>
      <c r="X225" s="116">
        <f t="shared" si="9"/>
        <v>60</v>
      </c>
      <c r="Y225" s="117">
        <v>23</v>
      </c>
      <c r="Z225" s="118">
        <v>37</v>
      </c>
      <c r="AA225" s="124">
        <v>1</v>
      </c>
      <c r="AB225" s="125">
        <v>1</v>
      </c>
      <c r="AC225" s="125">
        <v>0</v>
      </c>
      <c r="AD225" s="117">
        <v>1</v>
      </c>
      <c r="AE225" s="117">
        <v>1</v>
      </c>
      <c r="AF225" s="126" t="str">
        <f t="shared" si="10"/>
        <v>FDSB226 - Sounder beacon base, Red Light, Low Intensity</v>
      </c>
    </row>
    <row r="226" spans="1:32" ht="13" hidden="1" outlineLevel="1" x14ac:dyDescent="0.25">
      <c r="A226" s="59"/>
      <c r="B226" s="121" t="s">
        <v>893</v>
      </c>
      <c r="C226" s="122">
        <v>0</v>
      </c>
      <c r="D226" s="113" t="s">
        <v>780</v>
      </c>
      <c r="E226" s="123">
        <v>0</v>
      </c>
      <c r="F226" s="115" t="s">
        <v>147</v>
      </c>
      <c r="G226" s="122">
        <v>0</v>
      </c>
      <c r="H226" s="113" t="s">
        <v>147</v>
      </c>
      <c r="I226" s="123">
        <v>0</v>
      </c>
      <c r="J226" s="115" t="s">
        <v>147</v>
      </c>
      <c r="K226" s="122">
        <v>0</v>
      </c>
      <c r="L226" s="113" t="s">
        <v>147</v>
      </c>
      <c r="M226" s="123">
        <v>0</v>
      </c>
      <c r="N226" s="115" t="s">
        <v>147</v>
      </c>
      <c r="O226" s="122">
        <v>0</v>
      </c>
      <c r="P226" s="113" t="s">
        <v>147</v>
      </c>
      <c r="Q226" s="123">
        <v>0</v>
      </c>
      <c r="R226" s="115" t="s">
        <v>147</v>
      </c>
      <c r="S226" s="61"/>
      <c r="U226" s="116">
        <f t="shared" si="8"/>
        <v>1.25</v>
      </c>
      <c r="V226" s="117">
        <v>1.25</v>
      </c>
      <c r="W226" s="118">
        <v>0</v>
      </c>
      <c r="X226" s="116">
        <f t="shared" si="9"/>
        <v>31</v>
      </c>
      <c r="Y226" s="117">
        <v>23</v>
      </c>
      <c r="Z226" s="118">
        <v>8</v>
      </c>
      <c r="AA226" s="124">
        <v>1</v>
      </c>
      <c r="AB226" s="125">
        <v>1</v>
      </c>
      <c r="AC226" s="125">
        <v>0</v>
      </c>
      <c r="AD226" s="117">
        <v>1</v>
      </c>
      <c r="AE226" s="117">
        <v>0</v>
      </c>
      <c r="AF226" s="126" t="str">
        <f t="shared" si="10"/>
        <v>FDSB226 - Sounder beacon base, Red Light, Indicator Mode</v>
      </c>
    </row>
    <row r="227" spans="1:32" ht="13" hidden="1" outlineLevel="1" x14ac:dyDescent="0.25">
      <c r="A227" s="59"/>
      <c r="B227" s="121" t="s">
        <v>894</v>
      </c>
      <c r="C227" s="122">
        <v>0</v>
      </c>
      <c r="D227" s="113" t="s">
        <v>147</v>
      </c>
      <c r="E227" s="123">
        <v>0</v>
      </c>
      <c r="F227" s="115" t="s">
        <v>147</v>
      </c>
      <c r="G227" s="122">
        <v>0</v>
      </c>
      <c r="H227" s="113" t="s">
        <v>147</v>
      </c>
      <c r="I227" s="123">
        <v>0</v>
      </c>
      <c r="J227" s="115" t="s">
        <v>147</v>
      </c>
      <c r="K227" s="122">
        <v>0</v>
      </c>
      <c r="L227" s="113" t="s">
        <v>147</v>
      </c>
      <c r="M227" s="123">
        <v>0</v>
      </c>
      <c r="N227" s="115" t="s">
        <v>147</v>
      </c>
      <c r="O227" s="122">
        <v>0</v>
      </c>
      <c r="P227" s="113" t="s">
        <v>147</v>
      </c>
      <c r="Q227" s="123">
        <v>0</v>
      </c>
      <c r="R227" s="115" t="s">
        <v>147</v>
      </c>
      <c r="S227" s="61"/>
      <c r="U227" s="116">
        <f t="shared" si="8"/>
        <v>1.25</v>
      </c>
      <c r="V227" s="117">
        <v>1.25</v>
      </c>
      <c r="W227" s="118">
        <v>0</v>
      </c>
      <c r="X227" s="116">
        <f t="shared" si="9"/>
        <v>132</v>
      </c>
      <c r="Y227" s="117">
        <v>23</v>
      </c>
      <c r="Z227" s="118">
        <v>109</v>
      </c>
      <c r="AA227" s="124">
        <v>1</v>
      </c>
      <c r="AB227" s="125">
        <v>1</v>
      </c>
      <c r="AC227" s="125">
        <v>0</v>
      </c>
      <c r="AD227" s="117">
        <v>1</v>
      </c>
      <c r="AE227" s="117">
        <v>1</v>
      </c>
      <c r="AF227" s="126" t="str">
        <f t="shared" si="10"/>
        <v>FDSB226 - Sounder beacon base, White Light, High Intensity</v>
      </c>
    </row>
    <row r="228" spans="1:32" ht="13" hidden="1" outlineLevel="1" x14ac:dyDescent="0.25">
      <c r="A228" s="59"/>
      <c r="B228" s="121" t="s">
        <v>895</v>
      </c>
      <c r="C228" s="122">
        <v>0</v>
      </c>
      <c r="D228" s="113" t="s">
        <v>147</v>
      </c>
      <c r="E228" s="123">
        <v>0</v>
      </c>
      <c r="F228" s="115" t="s">
        <v>147</v>
      </c>
      <c r="G228" s="122">
        <v>0</v>
      </c>
      <c r="H228" s="113" t="s">
        <v>147</v>
      </c>
      <c r="I228" s="123">
        <v>0</v>
      </c>
      <c r="J228" s="115" t="s">
        <v>147</v>
      </c>
      <c r="K228" s="122">
        <v>0</v>
      </c>
      <c r="L228" s="113" t="s">
        <v>147</v>
      </c>
      <c r="M228" s="123">
        <v>0</v>
      </c>
      <c r="N228" s="115" t="s">
        <v>147</v>
      </c>
      <c r="O228" s="122">
        <v>0</v>
      </c>
      <c r="P228" s="113" t="s">
        <v>147</v>
      </c>
      <c r="Q228" s="123">
        <v>0</v>
      </c>
      <c r="R228" s="115" t="s">
        <v>147</v>
      </c>
      <c r="S228" s="61"/>
      <c r="U228" s="116">
        <f t="shared" si="8"/>
        <v>1.25</v>
      </c>
      <c r="V228" s="117">
        <v>1.25</v>
      </c>
      <c r="W228" s="118">
        <v>0</v>
      </c>
      <c r="X228" s="116">
        <f t="shared" si="9"/>
        <v>82</v>
      </c>
      <c r="Y228" s="117">
        <v>23</v>
      </c>
      <c r="Z228" s="118">
        <v>59</v>
      </c>
      <c r="AA228" s="124">
        <v>1</v>
      </c>
      <c r="AB228" s="125">
        <v>1</v>
      </c>
      <c r="AC228" s="125">
        <v>0</v>
      </c>
      <c r="AD228" s="117">
        <v>1</v>
      </c>
      <c r="AE228" s="117">
        <v>1</v>
      </c>
      <c r="AF228" s="126" t="str">
        <f t="shared" si="10"/>
        <v>FDSB226 - Sounder beacon base, White Light, Medium Intensity</v>
      </c>
    </row>
    <row r="229" spans="1:32" ht="13" hidden="1" outlineLevel="1" x14ac:dyDescent="0.25">
      <c r="A229" s="59"/>
      <c r="B229" s="121" t="s">
        <v>896</v>
      </c>
      <c r="C229" s="122">
        <v>0</v>
      </c>
      <c r="D229" s="113" t="s">
        <v>147</v>
      </c>
      <c r="E229" s="123">
        <v>0</v>
      </c>
      <c r="F229" s="115" t="s">
        <v>147</v>
      </c>
      <c r="G229" s="122">
        <v>0</v>
      </c>
      <c r="H229" s="113" t="s">
        <v>147</v>
      </c>
      <c r="I229" s="123">
        <v>0</v>
      </c>
      <c r="J229" s="115" t="s">
        <v>147</v>
      </c>
      <c r="K229" s="122">
        <v>0</v>
      </c>
      <c r="L229" s="113" t="s">
        <v>147</v>
      </c>
      <c r="M229" s="123">
        <v>0</v>
      </c>
      <c r="N229" s="115" t="s">
        <v>147</v>
      </c>
      <c r="O229" s="122">
        <v>0</v>
      </c>
      <c r="P229" s="113" t="s">
        <v>147</v>
      </c>
      <c r="Q229" s="123">
        <v>0</v>
      </c>
      <c r="R229" s="115" t="s">
        <v>147</v>
      </c>
      <c r="S229" s="61"/>
      <c r="U229" s="116">
        <f t="shared" si="8"/>
        <v>1.25</v>
      </c>
      <c r="V229" s="117">
        <v>1.25</v>
      </c>
      <c r="W229" s="118">
        <v>0</v>
      </c>
      <c r="X229" s="116">
        <f t="shared" si="9"/>
        <v>49</v>
      </c>
      <c r="Y229" s="117">
        <v>23</v>
      </c>
      <c r="Z229" s="118">
        <v>26</v>
      </c>
      <c r="AA229" s="124">
        <v>1</v>
      </c>
      <c r="AB229" s="125">
        <v>1</v>
      </c>
      <c r="AC229" s="125">
        <v>0</v>
      </c>
      <c r="AD229" s="117">
        <v>1</v>
      </c>
      <c r="AE229" s="117">
        <v>1</v>
      </c>
      <c r="AF229" s="126" t="str">
        <f t="shared" si="10"/>
        <v>FDSB226 - Sounder beacon base, White Light, Low Intensity</v>
      </c>
    </row>
    <row r="230" spans="1:32" ht="13" hidden="1" outlineLevel="1" x14ac:dyDescent="0.25">
      <c r="A230" s="59"/>
      <c r="B230" s="121" t="s">
        <v>897</v>
      </c>
      <c r="C230" s="122">
        <v>0</v>
      </c>
      <c r="D230" s="113" t="s">
        <v>780</v>
      </c>
      <c r="E230" s="123">
        <v>0</v>
      </c>
      <c r="F230" s="115" t="s">
        <v>147</v>
      </c>
      <c r="G230" s="122">
        <v>0</v>
      </c>
      <c r="H230" s="113" t="s">
        <v>147</v>
      </c>
      <c r="I230" s="123">
        <v>0</v>
      </c>
      <c r="J230" s="115" t="s">
        <v>147</v>
      </c>
      <c r="K230" s="122">
        <v>0</v>
      </c>
      <c r="L230" s="113" t="s">
        <v>147</v>
      </c>
      <c r="M230" s="123">
        <v>0</v>
      </c>
      <c r="N230" s="115" t="s">
        <v>147</v>
      </c>
      <c r="O230" s="122">
        <v>0</v>
      </c>
      <c r="P230" s="113" t="s">
        <v>147</v>
      </c>
      <c r="Q230" s="123">
        <v>0</v>
      </c>
      <c r="R230" s="115" t="s">
        <v>147</v>
      </c>
      <c r="S230" s="61"/>
      <c r="U230" s="116">
        <f t="shared" si="8"/>
        <v>1.25</v>
      </c>
      <c r="V230" s="117">
        <v>1.25</v>
      </c>
      <c r="W230" s="118">
        <v>0</v>
      </c>
      <c r="X230" s="116">
        <f t="shared" si="9"/>
        <v>31</v>
      </c>
      <c r="Y230" s="117">
        <v>23</v>
      </c>
      <c r="Z230" s="118">
        <v>8</v>
      </c>
      <c r="AA230" s="124">
        <v>1</v>
      </c>
      <c r="AB230" s="125">
        <v>1</v>
      </c>
      <c r="AC230" s="125">
        <v>0</v>
      </c>
      <c r="AD230" s="117">
        <v>1</v>
      </c>
      <c r="AE230" s="117">
        <v>0</v>
      </c>
      <c r="AF230" s="126" t="str">
        <f t="shared" si="10"/>
        <v>FDSB226 - Sounder beacon base, White Light, Indicator Mode</v>
      </c>
    </row>
    <row r="231" spans="1:32" ht="13" hidden="1" outlineLevel="1" x14ac:dyDescent="0.25">
      <c r="A231" s="59"/>
      <c r="B231" s="121" t="s">
        <v>898</v>
      </c>
      <c r="C231" s="122">
        <v>0</v>
      </c>
      <c r="D231" s="113" t="s">
        <v>780</v>
      </c>
      <c r="E231" s="123">
        <v>0</v>
      </c>
      <c r="F231" s="115" t="s">
        <v>147</v>
      </c>
      <c r="G231" s="122">
        <v>0</v>
      </c>
      <c r="H231" s="113" t="s">
        <v>147</v>
      </c>
      <c r="I231" s="123">
        <v>0</v>
      </c>
      <c r="J231" s="115" t="s">
        <v>147</v>
      </c>
      <c r="K231" s="122">
        <v>0</v>
      </c>
      <c r="L231" s="113" t="s">
        <v>147</v>
      </c>
      <c r="M231" s="123">
        <v>0</v>
      </c>
      <c r="N231" s="115" t="s">
        <v>147</v>
      </c>
      <c r="O231" s="122">
        <v>0</v>
      </c>
      <c r="P231" s="113" t="s">
        <v>147</v>
      </c>
      <c r="Q231" s="123">
        <v>0</v>
      </c>
      <c r="R231" s="115" t="s">
        <v>147</v>
      </c>
      <c r="S231" s="61"/>
      <c r="U231" s="116">
        <f t="shared" si="8"/>
        <v>1</v>
      </c>
      <c r="V231" s="117">
        <v>1</v>
      </c>
      <c r="W231" s="118">
        <v>0</v>
      </c>
      <c r="X231" s="116">
        <f t="shared" si="9"/>
        <v>40</v>
      </c>
      <c r="Y231" s="117">
        <v>40</v>
      </c>
      <c r="Z231" s="118">
        <v>0</v>
      </c>
      <c r="AA231" s="124">
        <v>1</v>
      </c>
      <c r="AB231" s="125">
        <v>1</v>
      </c>
      <c r="AC231" s="125">
        <v>0</v>
      </c>
      <c r="AD231" s="117">
        <v>0</v>
      </c>
      <c r="AE231" s="117">
        <v>0</v>
      </c>
      <c r="AF231" s="126" t="str">
        <f t="shared" si="10"/>
        <v>DBS728 - Sounder beacon interbase, Sound and Light High</v>
      </c>
    </row>
    <row r="232" spans="1:32" ht="13" hidden="1" outlineLevel="1" x14ac:dyDescent="0.25">
      <c r="A232" s="59"/>
      <c r="B232" s="121" t="s">
        <v>899</v>
      </c>
      <c r="C232" s="122">
        <v>0</v>
      </c>
      <c r="D232" s="113" t="s">
        <v>147</v>
      </c>
      <c r="E232" s="123">
        <v>0</v>
      </c>
      <c r="F232" s="115" t="s">
        <v>147</v>
      </c>
      <c r="G232" s="122">
        <v>0</v>
      </c>
      <c r="H232" s="113" t="s">
        <v>147</v>
      </c>
      <c r="I232" s="123">
        <v>0</v>
      </c>
      <c r="J232" s="115" t="s">
        <v>147</v>
      </c>
      <c r="K232" s="122">
        <v>0</v>
      </c>
      <c r="L232" s="113" t="s">
        <v>147</v>
      </c>
      <c r="M232" s="123">
        <v>0</v>
      </c>
      <c r="N232" s="115" t="s">
        <v>147</v>
      </c>
      <c r="O232" s="122">
        <v>0</v>
      </c>
      <c r="P232" s="113" t="s">
        <v>147</v>
      </c>
      <c r="Q232" s="123">
        <v>0</v>
      </c>
      <c r="R232" s="115" t="s">
        <v>147</v>
      </c>
      <c r="S232" s="61"/>
      <c r="U232" s="116">
        <f t="shared" si="8"/>
        <v>1</v>
      </c>
      <c r="V232" s="117">
        <v>1</v>
      </c>
      <c r="W232" s="118">
        <v>0</v>
      </c>
      <c r="X232" s="116">
        <f t="shared" si="9"/>
        <v>41</v>
      </c>
      <c r="Y232" s="117">
        <v>41</v>
      </c>
      <c r="Z232" s="118">
        <v>0</v>
      </c>
      <c r="AA232" s="124">
        <v>1</v>
      </c>
      <c r="AB232" s="125">
        <v>1</v>
      </c>
      <c r="AC232" s="125">
        <v>0</v>
      </c>
      <c r="AD232" s="117">
        <v>0</v>
      </c>
      <c r="AE232" s="117">
        <v>0</v>
      </c>
      <c r="AF232" s="126" t="str">
        <f t="shared" si="10"/>
        <v>DBS729 - Sounder beacon interbase, Sound and Light High</v>
      </c>
    </row>
    <row r="233" spans="1:32" ht="13" hidden="1" outlineLevel="1" x14ac:dyDescent="0.25">
      <c r="A233" s="59"/>
      <c r="B233" s="121" t="s">
        <v>900</v>
      </c>
      <c r="C233" s="122">
        <v>0</v>
      </c>
      <c r="D233" s="113" t="s">
        <v>147</v>
      </c>
      <c r="E233" s="123">
        <v>0</v>
      </c>
      <c r="F233" s="115" t="s">
        <v>147</v>
      </c>
      <c r="G233" s="122">
        <v>0</v>
      </c>
      <c r="H233" s="113" t="s">
        <v>147</v>
      </c>
      <c r="I233" s="123">
        <v>0</v>
      </c>
      <c r="J233" s="115" t="s">
        <v>147</v>
      </c>
      <c r="K233" s="122">
        <v>0</v>
      </c>
      <c r="L233" s="113" t="s">
        <v>147</v>
      </c>
      <c r="M233" s="123">
        <v>0</v>
      </c>
      <c r="N233" s="115" t="s">
        <v>147</v>
      </c>
      <c r="O233" s="122">
        <v>0</v>
      </c>
      <c r="P233" s="113" t="s">
        <v>147</v>
      </c>
      <c r="Q233" s="123">
        <v>0</v>
      </c>
      <c r="R233" s="115" t="s">
        <v>147</v>
      </c>
      <c r="S233" s="61"/>
      <c r="U233" s="116">
        <f t="shared" si="8"/>
        <v>1.25</v>
      </c>
      <c r="V233" s="117">
        <v>1.25</v>
      </c>
      <c r="W233" s="118">
        <v>0</v>
      </c>
      <c r="X233" s="116">
        <f t="shared" si="9"/>
        <v>80</v>
      </c>
      <c r="Y233" s="117">
        <v>22</v>
      </c>
      <c r="Z233" s="118">
        <v>58</v>
      </c>
      <c r="AA233" s="124">
        <v>1</v>
      </c>
      <c r="AB233" s="125">
        <v>1</v>
      </c>
      <c r="AC233" s="125">
        <v>0</v>
      </c>
      <c r="AD233" s="117">
        <v>1</v>
      </c>
      <c r="AE233" s="117">
        <v>1</v>
      </c>
      <c r="AF233" s="126" t="str">
        <f t="shared" si="10"/>
        <v>FDS366-RR Sounder used with beacon functionality, Red Light, Medium Intensity</v>
      </c>
    </row>
    <row r="234" spans="1:32" ht="13" hidden="1" outlineLevel="1" x14ac:dyDescent="0.25">
      <c r="A234" s="59"/>
      <c r="B234" s="121" t="s">
        <v>901</v>
      </c>
      <c r="C234" s="122">
        <v>0</v>
      </c>
      <c r="D234" s="113" t="s">
        <v>780</v>
      </c>
      <c r="E234" s="123">
        <v>0</v>
      </c>
      <c r="F234" s="115" t="s">
        <v>147</v>
      </c>
      <c r="G234" s="122">
        <v>0</v>
      </c>
      <c r="H234" s="113" t="s">
        <v>147</v>
      </c>
      <c r="I234" s="123">
        <v>0</v>
      </c>
      <c r="J234" s="115" t="s">
        <v>147</v>
      </c>
      <c r="K234" s="122">
        <v>0</v>
      </c>
      <c r="L234" s="113" t="s">
        <v>147</v>
      </c>
      <c r="M234" s="123">
        <v>0</v>
      </c>
      <c r="N234" s="115" t="s">
        <v>147</v>
      </c>
      <c r="O234" s="122">
        <v>0</v>
      </c>
      <c r="P234" s="113" t="s">
        <v>147</v>
      </c>
      <c r="Q234" s="123">
        <v>0</v>
      </c>
      <c r="R234" s="115" t="s">
        <v>147</v>
      </c>
      <c r="S234" s="61"/>
      <c r="U234" s="116">
        <f t="shared" si="8"/>
        <v>1.25</v>
      </c>
      <c r="V234" s="117">
        <v>1.25</v>
      </c>
      <c r="W234" s="118">
        <v>0</v>
      </c>
      <c r="X234" s="116">
        <f t="shared" si="9"/>
        <v>30</v>
      </c>
      <c r="Y234" s="117">
        <v>22</v>
      </c>
      <c r="Z234" s="118">
        <v>8</v>
      </c>
      <c r="AA234" s="124">
        <v>1</v>
      </c>
      <c r="AB234" s="125">
        <v>1</v>
      </c>
      <c r="AC234" s="125">
        <v>0</v>
      </c>
      <c r="AD234" s="117">
        <v>1</v>
      </c>
      <c r="AE234" s="117">
        <v>0</v>
      </c>
      <c r="AF234" s="126" t="str">
        <f t="shared" si="10"/>
        <v>FDS366-RR Sounder used with beacon functionality, Red Light Indicator Mode</v>
      </c>
    </row>
    <row r="235" spans="1:32" ht="13" hidden="1" outlineLevel="1" x14ac:dyDescent="0.25">
      <c r="A235" s="59"/>
      <c r="B235" s="121" t="s">
        <v>902</v>
      </c>
      <c r="C235" s="122">
        <v>0</v>
      </c>
      <c r="D235" s="113" t="s">
        <v>780</v>
      </c>
      <c r="E235" s="123">
        <v>0</v>
      </c>
      <c r="F235" s="115" t="s">
        <v>147</v>
      </c>
      <c r="G235" s="122">
        <v>0</v>
      </c>
      <c r="H235" s="113" t="s">
        <v>147</v>
      </c>
      <c r="I235" s="123">
        <v>0</v>
      </c>
      <c r="J235" s="115" t="s">
        <v>147</v>
      </c>
      <c r="K235" s="122">
        <v>0</v>
      </c>
      <c r="L235" s="113" t="s">
        <v>147</v>
      </c>
      <c r="M235" s="123">
        <v>0</v>
      </c>
      <c r="N235" s="115" t="s">
        <v>147</v>
      </c>
      <c r="O235" s="122">
        <v>0</v>
      </c>
      <c r="P235" s="113" t="s">
        <v>147</v>
      </c>
      <c r="Q235" s="123">
        <v>0</v>
      </c>
      <c r="R235" s="115" t="s">
        <v>147</v>
      </c>
      <c r="S235" s="61"/>
      <c r="U235" s="116">
        <f t="shared" si="8"/>
        <v>1.25</v>
      </c>
      <c r="V235" s="117">
        <v>1.25</v>
      </c>
      <c r="W235" s="118">
        <v>0</v>
      </c>
      <c r="X235" s="116">
        <f t="shared" si="9"/>
        <v>62</v>
      </c>
      <c r="Y235" s="117">
        <v>22</v>
      </c>
      <c r="Z235" s="118">
        <v>40</v>
      </c>
      <c r="AA235" s="124">
        <v>1</v>
      </c>
      <c r="AB235" s="125">
        <v>1</v>
      </c>
      <c r="AC235" s="125">
        <v>0</v>
      </c>
      <c r="AD235" s="117">
        <v>1</v>
      </c>
      <c r="AE235" s="117">
        <v>1</v>
      </c>
      <c r="AF235" s="126" t="str">
        <f t="shared" si="10"/>
        <v>FDS366-RW Sounder used with beacon functionality, White Light, Medium Intensity</v>
      </c>
    </row>
    <row r="236" spans="1:32" ht="13" hidden="1" outlineLevel="1" x14ac:dyDescent="0.25">
      <c r="A236" s="59"/>
      <c r="B236" s="121" t="s">
        <v>903</v>
      </c>
      <c r="C236" s="122">
        <v>0</v>
      </c>
      <c r="D236" s="113" t="s">
        <v>147</v>
      </c>
      <c r="E236" s="123">
        <v>0</v>
      </c>
      <c r="F236" s="115" t="s">
        <v>147</v>
      </c>
      <c r="G236" s="122">
        <v>0</v>
      </c>
      <c r="H236" s="113" t="s">
        <v>147</v>
      </c>
      <c r="I236" s="123">
        <v>0</v>
      </c>
      <c r="J236" s="115" t="s">
        <v>147</v>
      </c>
      <c r="K236" s="122">
        <v>0</v>
      </c>
      <c r="L236" s="113" t="s">
        <v>147</v>
      </c>
      <c r="M236" s="123">
        <v>0</v>
      </c>
      <c r="N236" s="115" t="s">
        <v>147</v>
      </c>
      <c r="O236" s="122">
        <v>0</v>
      </c>
      <c r="P236" s="113" t="s">
        <v>147</v>
      </c>
      <c r="Q236" s="123">
        <v>0</v>
      </c>
      <c r="R236" s="115" t="s">
        <v>147</v>
      </c>
      <c r="S236" s="61"/>
      <c r="U236" s="116">
        <f t="shared" si="8"/>
        <v>1.25</v>
      </c>
      <c r="V236" s="117">
        <v>1.25</v>
      </c>
      <c r="W236" s="118">
        <v>0</v>
      </c>
      <c r="X236" s="116">
        <f t="shared" si="9"/>
        <v>30</v>
      </c>
      <c r="Y236" s="117">
        <v>22</v>
      </c>
      <c r="Z236" s="118">
        <v>8</v>
      </c>
      <c r="AA236" s="124">
        <v>1</v>
      </c>
      <c r="AB236" s="125">
        <v>1</v>
      </c>
      <c r="AC236" s="125">
        <v>0</v>
      </c>
      <c r="AD236" s="117">
        <v>1</v>
      </c>
      <c r="AE236" s="117">
        <v>0</v>
      </c>
      <c r="AF236" s="126" t="str">
        <f t="shared" si="10"/>
        <v>FDS366-RW Sounder used with beacon functionality, White Light Indicator Mode</v>
      </c>
    </row>
    <row r="237" spans="1:32" ht="13" hidden="1" outlineLevel="1" x14ac:dyDescent="0.25">
      <c r="A237" s="59"/>
      <c r="B237" s="121" t="s">
        <v>904</v>
      </c>
      <c r="C237" s="122">
        <v>0</v>
      </c>
      <c r="D237" s="113" t="s">
        <v>147</v>
      </c>
      <c r="E237" s="123">
        <v>0</v>
      </c>
      <c r="F237" s="115" t="s">
        <v>147</v>
      </c>
      <c r="G237" s="122">
        <v>0</v>
      </c>
      <c r="H237" s="113" t="s">
        <v>147</v>
      </c>
      <c r="I237" s="123">
        <v>0</v>
      </c>
      <c r="J237" s="115" t="s">
        <v>147</v>
      </c>
      <c r="K237" s="122">
        <v>0</v>
      </c>
      <c r="L237" s="113" t="s">
        <v>147</v>
      </c>
      <c r="M237" s="123">
        <v>0</v>
      </c>
      <c r="N237" s="115" t="s">
        <v>147</v>
      </c>
      <c r="O237" s="122">
        <v>0</v>
      </c>
      <c r="P237" s="113" t="s">
        <v>147</v>
      </c>
      <c r="Q237" s="123">
        <v>0</v>
      </c>
      <c r="R237" s="115" t="s">
        <v>147</v>
      </c>
      <c r="S237" s="61"/>
      <c r="U237" s="116">
        <f t="shared" si="8"/>
        <v>1.25</v>
      </c>
      <c r="V237" s="117">
        <v>1.25</v>
      </c>
      <c r="W237" s="118">
        <v>0</v>
      </c>
      <c r="X237" s="116">
        <f t="shared" si="9"/>
        <v>88</v>
      </c>
      <c r="Y237" s="117">
        <v>23</v>
      </c>
      <c r="Z237" s="118">
        <v>65</v>
      </c>
      <c r="AA237" s="124">
        <v>1</v>
      </c>
      <c r="AB237" s="125">
        <v>1</v>
      </c>
      <c r="AC237" s="125">
        <v>0</v>
      </c>
      <c r="AD237" s="117">
        <v>1</v>
      </c>
      <c r="AE237" s="117">
        <v>1</v>
      </c>
      <c r="AF237" s="126" t="str">
        <f t="shared" si="10"/>
        <v>FDS366-WR Sounder used with beacon functionality, Red Light, Medium Intensity</v>
      </c>
    </row>
    <row r="238" spans="1:32" ht="13" hidden="1" outlineLevel="1" x14ac:dyDescent="0.25">
      <c r="A238" s="59"/>
      <c r="B238" s="121" t="s">
        <v>905</v>
      </c>
      <c r="C238" s="122">
        <v>0</v>
      </c>
      <c r="D238" s="113" t="s">
        <v>780</v>
      </c>
      <c r="E238" s="123">
        <v>0</v>
      </c>
      <c r="F238" s="115" t="s">
        <v>147</v>
      </c>
      <c r="G238" s="122">
        <v>0</v>
      </c>
      <c r="H238" s="113" t="s">
        <v>147</v>
      </c>
      <c r="I238" s="123">
        <v>0</v>
      </c>
      <c r="J238" s="115" t="s">
        <v>147</v>
      </c>
      <c r="K238" s="122">
        <v>0</v>
      </c>
      <c r="L238" s="113" t="s">
        <v>147</v>
      </c>
      <c r="M238" s="123">
        <v>0</v>
      </c>
      <c r="N238" s="115" t="s">
        <v>147</v>
      </c>
      <c r="O238" s="122">
        <v>0</v>
      </c>
      <c r="P238" s="113" t="s">
        <v>147</v>
      </c>
      <c r="Q238" s="123">
        <v>0</v>
      </c>
      <c r="R238" s="115" t="s">
        <v>147</v>
      </c>
      <c r="S238" s="61"/>
      <c r="U238" s="116">
        <f t="shared" si="8"/>
        <v>1.25</v>
      </c>
      <c r="V238" s="117">
        <v>1.25</v>
      </c>
      <c r="W238" s="118">
        <v>0</v>
      </c>
      <c r="X238" s="116">
        <f t="shared" si="9"/>
        <v>31</v>
      </c>
      <c r="Y238" s="117">
        <v>23</v>
      </c>
      <c r="Z238" s="118">
        <v>8</v>
      </c>
      <c r="AA238" s="124">
        <v>1</v>
      </c>
      <c r="AB238" s="125">
        <v>1</v>
      </c>
      <c r="AC238" s="125">
        <v>0</v>
      </c>
      <c r="AD238" s="117">
        <v>1</v>
      </c>
      <c r="AE238" s="117">
        <v>0</v>
      </c>
      <c r="AF238" s="126" t="str">
        <f t="shared" si="10"/>
        <v>FDS366-WR Sounder used with beacon functionality, Red Light Indicator Mode</v>
      </c>
    </row>
    <row r="239" spans="1:32" ht="13" hidden="1" outlineLevel="1" x14ac:dyDescent="0.25">
      <c r="A239" s="59"/>
      <c r="B239" s="121" t="s">
        <v>906</v>
      </c>
      <c r="C239" s="122">
        <v>0</v>
      </c>
      <c r="D239" s="113" t="s">
        <v>147</v>
      </c>
      <c r="E239" s="123">
        <v>0</v>
      </c>
      <c r="F239" s="115" t="s">
        <v>147</v>
      </c>
      <c r="G239" s="122">
        <v>0</v>
      </c>
      <c r="H239" s="113" t="s">
        <v>147</v>
      </c>
      <c r="I239" s="123">
        <v>0</v>
      </c>
      <c r="J239" s="115" t="s">
        <v>147</v>
      </c>
      <c r="K239" s="122">
        <v>0</v>
      </c>
      <c r="L239" s="113" t="s">
        <v>147</v>
      </c>
      <c r="M239" s="123">
        <v>0</v>
      </c>
      <c r="N239" s="115" t="s">
        <v>147</v>
      </c>
      <c r="O239" s="122">
        <v>0</v>
      </c>
      <c r="P239" s="113" t="s">
        <v>147</v>
      </c>
      <c r="Q239" s="123">
        <v>0</v>
      </c>
      <c r="R239" s="115" t="s">
        <v>147</v>
      </c>
      <c r="S239" s="61"/>
      <c r="U239" s="116">
        <f t="shared" si="8"/>
        <v>1.25</v>
      </c>
      <c r="V239" s="117">
        <v>1.25</v>
      </c>
      <c r="W239" s="118">
        <v>0</v>
      </c>
      <c r="X239" s="116">
        <f t="shared" si="9"/>
        <v>82</v>
      </c>
      <c r="Y239" s="117">
        <v>23</v>
      </c>
      <c r="Z239" s="118">
        <v>59</v>
      </c>
      <c r="AA239" s="124">
        <v>1</v>
      </c>
      <c r="AB239" s="125">
        <v>1</v>
      </c>
      <c r="AC239" s="125">
        <v>0</v>
      </c>
      <c r="AD239" s="117">
        <v>1</v>
      </c>
      <c r="AE239" s="117">
        <v>1</v>
      </c>
      <c r="AF239" s="126" t="str">
        <f t="shared" si="10"/>
        <v>FDS366-WW Sounder used with beacon functionality, White Light, Medium Intensity</v>
      </c>
    </row>
    <row r="240" spans="1:32" ht="13" hidden="1" outlineLevel="1" x14ac:dyDescent="0.25">
      <c r="A240" s="59"/>
      <c r="B240" s="121" t="s">
        <v>907</v>
      </c>
      <c r="C240" s="122">
        <v>0</v>
      </c>
      <c r="D240" s="115" t="s">
        <v>147</v>
      </c>
      <c r="E240" s="122">
        <v>0</v>
      </c>
      <c r="F240" s="138" t="s">
        <v>147</v>
      </c>
      <c r="G240" s="122">
        <v>0</v>
      </c>
      <c r="H240" s="138" t="s">
        <v>147</v>
      </c>
      <c r="I240" s="122">
        <v>0</v>
      </c>
      <c r="J240" s="138" t="s">
        <v>147</v>
      </c>
      <c r="K240" s="122">
        <v>0</v>
      </c>
      <c r="L240" s="138" t="s">
        <v>147</v>
      </c>
      <c r="M240" s="122">
        <v>0</v>
      </c>
      <c r="N240" s="138" t="s">
        <v>147</v>
      </c>
      <c r="O240" s="122">
        <v>0</v>
      </c>
      <c r="P240" s="138" t="s">
        <v>147</v>
      </c>
      <c r="Q240" s="122">
        <v>0</v>
      </c>
      <c r="R240" s="138" t="s">
        <v>147</v>
      </c>
      <c r="S240" s="61"/>
      <c r="U240" s="116">
        <f t="shared" si="8"/>
        <v>1.25</v>
      </c>
      <c r="V240" s="117">
        <v>1.25</v>
      </c>
      <c r="W240" s="118">
        <v>0</v>
      </c>
      <c r="X240" s="116">
        <f t="shared" si="9"/>
        <v>31</v>
      </c>
      <c r="Y240" s="117">
        <v>23</v>
      </c>
      <c r="Z240" s="118">
        <v>8</v>
      </c>
      <c r="AA240" s="124">
        <v>1</v>
      </c>
      <c r="AB240" s="125">
        <v>1</v>
      </c>
      <c r="AC240" s="125">
        <v>0</v>
      </c>
      <c r="AD240" s="117">
        <v>1</v>
      </c>
      <c r="AE240" s="117">
        <v>0</v>
      </c>
      <c r="AF240" s="126" t="str">
        <f t="shared" si="10"/>
        <v>FDS366-WW Sounder used with beacon functionality, White Light Indicator Mode</v>
      </c>
    </row>
    <row r="241" spans="1:32" hidden="1" x14ac:dyDescent="0.25">
      <c r="A241" s="59"/>
      <c r="B241" s="121"/>
      <c r="C241" s="122"/>
      <c r="D241" s="115"/>
      <c r="E241" s="122"/>
      <c r="F241" s="138"/>
      <c r="G241" s="122"/>
      <c r="H241" s="138"/>
      <c r="I241" s="122"/>
      <c r="J241" s="138"/>
      <c r="K241" s="122"/>
      <c r="L241" s="138"/>
      <c r="M241" s="122"/>
      <c r="N241" s="138"/>
      <c r="O241" s="122"/>
      <c r="P241" s="138"/>
      <c r="Q241" s="122"/>
      <c r="R241" s="138"/>
      <c r="S241" s="61"/>
      <c r="U241" s="143"/>
      <c r="V241" s="117"/>
      <c r="W241" s="118"/>
      <c r="X241" s="143"/>
      <c r="Y241" s="117"/>
      <c r="Z241" s="118"/>
      <c r="AA241" s="124"/>
      <c r="AB241" s="125"/>
      <c r="AC241" s="125"/>
      <c r="AD241" s="117"/>
      <c r="AE241" s="117"/>
      <c r="AF241" s="126">
        <f t="shared" si="10"/>
        <v>0</v>
      </c>
    </row>
    <row r="242" spans="1:32" hidden="1" x14ac:dyDescent="0.25">
      <c r="A242" s="59"/>
      <c r="B242" s="121"/>
      <c r="C242" s="122"/>
      <c r="D242" s="115"/>
      <c r="E242" s="122"/>
      <c r="F242" s="138"/>
      <c r="G242" s="122"/>
      <c r="H242" s="138"/>
      <c r="I242" s="122"/>
      <c r="J242" s="138"/>
      <c r="K242" s="122"/>
      <c r="L242" s="138"/>
      <c r="M242" s="122"/>
      <c r="N242" s="138"/>
      <c r="O242" s="122"/>
      <c r="P242" s="138"/>
      <c r="Q242" s="122"/>
      <c r="R242" s="138"/>
      <c r="S242" s="61"/>
      <c r="U242" s="143"/>
      <c r="V242" s="117"/>
      <c r="W242" s="118"/>
      <c r="X242" s="143"/>
      <c r="Y242" s="117"/>
      <c r="Z242" s="118"/>
      <c r="AA242" s="124"/>
      <c r="AB242" s="125"/>
      <c r="AC242" s="125"/>
      <c r="AD242" s="117"/>
      <c r="AE242" s="117"/>
      <c r="AF242" s="126">
        <f t="shared" si="10"/>
        <v>0</v>
      </c>
    </row>
    <row r="243" spans="1:32" hidden="1" x14ac:dyDescent="0.25">
      <c r="A243" s="59"/>
      <c r="B243" s="121"/>
      <c r="C243" s="122"/>
      <c r="D243" s="115"/>
      <c r="E243" s="122"/>
      <c r="F243" s="138"/>
      <c r="G243" s="122"/>
      <c r="H243" s="138"/>
      <c r="I243" s="122"/>
      <c r="J243" s="138"/>
      <c r="K243" s="122"/>
      <c r="L243" s="138"/>
      <c r="M243" s="122"/>
      <c r="N243" s="138"/>
      <c r="O243" s="122"/>
      <c r="P243" s="138"/>
      <c r="Q243" s="122"/>
      <c r="R243" s="138"/>
      <c r="S243" s="61"/>
      <c r="U243" s="143"/>
      <c r="V243" s="117"/>
      <c r="W243" s="118"/>
      <c r="X243" s="143"/>
      <c r="Y243" s="117"/>
      <c r="Z243" s="118"/>
      <c r="AA243" s="124"/>
      <c r="AB243" s="125"/>
      <c r="AC243" s="125"/>
      <c r="AD243" s="117"/>
      <c r="AE243" s="117"/>
      <c r="AF243" s="126">
        <f t="shared" si="10"/>
        <v>0</v>
      </c>
    </row>
    <row r="244" spans="1:32" hidden="1" x14ac:dyDescent="0.25">
      <c r="A244" s="59"/>
      <c r="B244" s="121"/>
      <c r="C244" s="122"/>
      <c r="D244" s="115"/>
      <c r="E244" s="122"/>
      <c r="F244" s="138"/>
      <c r="G244" s="122"/>
      <c r="H244" s="138"/>
      <c r="I244" s="122"/>
      <c r="J244" s="138"/>
      <c r="K244" s="122"/>
      <c r="L244" s="138"/>
      <c r="M244" s="122"/>
      <c r="N244" s="138"/>
      <c r="O244" s="122"/>
      <c r="P244" s="138"/>
      <c r="Q244" s="122"/>
      <c r="R244" s="138"/>
      <c r="S244" s="61"/>
      <c r="U244" s="143"/>
      <c r="V244" s="117"/>
      <c r="W244" s="118"/>
      <c r="X244" s="143"/>
      <c r="Y244" s="117"/>
      <c r="Z244" s="118"/>
      <c r="AA244" s="124"/>
      <c r="AB244" s="125"/>
      <c r="AC244" s="125"/>
      <c r="AD244" s="117"/>
      <c r="AE244" s="117"/>
      <c r="AF244" s="126">
        <f t="shared" si="10"/>
        <v>0</v>
      </c>
    </row>
    <row r="245" spans="1:32" hidden="1" x14ac:dyDescent="0.25">
      <c r="A245" s="59"/>
      <c r="B245" s="121"/>
      <c r="C245" s="122"/>
      <c r="D245" s="115"/>
      <c r="E245" s="122"/>
      <c r="F245" s="138"/>
      <c r="G245" s="122"/>
      <c r="H245" s="138"/>
      <c r="I245" s="122"/>
      <c r="J245" s="138"/>
      <c r="K245" s="122"/>
      <c r="L245" s="138"/>
      <c r="M245" s="122"/>
      <c r="N245" s="138"/>
      <c r="O245" s="122"/>
      <c r="P245" s="138"/>
      <c r="Q245" s="122"/>
      <c r="R245" s="138"/>
      <c r="S245" s="61"/>
      <c r="U245" s="143"/>
      <c r="V245" s="117"/>
      <c r="W245" s="118"/>
      <c r="X245" s="143"/>
      <c r="Y245" s="117"/>
      <c r="Z245" s="118"/>
      <c r="AA245" s="124"/>
      <c r="AB245" s="125"/>
      <c r="AC245" s="125"/>
      <c r="AD245" s="117"/>
      <c r="AE245" s="117"/>
      <c r="AF245" s="126">
        <f t="shared" si="10"/>
        <v>0</v>
      </c>
    </row>
    <row r="246" spans="1:32" hidden="1" x14ac:dyDescent="0.25">
      <c r="A246" s="59"/>
      <c r="B246" s="121"/>
      <c r="C246" s="122"/>
      <c r="D246" s="115"/>
      <c r="E246" s="122"/>
      <c r="F246" s="138"/>
      <c r="G246" s="122"/>
      <c r="H246" s="138"/>
      <c r="I246" s="122"/>
      <c r="J246" s="138"/>
      <c r="K246" s="122"/>
      <c r="L246" s="138"/>
      <c r="M246" s="122"/>
      <c r="N246" s="138"/>
      <c r="O246" s="122"/>
      <c r="P246" s="138"/>
      <c r="Q246" s="122"/>
      <c r="R246" s="138"/>
      <c r="S246" s="61"/>
      <c r="U246" s="143"/>
      <c r="V246" s="117"/>
      <c r="W246" s="118"/>
      <c r="X246" s="143"/>
      <c r="Y246" s="117"/>
      <c r="Z246" s="118"/>
      <c r="AA246" s="124"/>
      <c r="AB246" s="125"/>
      <c r="AC246" s="125"/>
      <c r="AD246" s="117"/>
      <c r="AE246" s="117"/>
      <c r="AF246" s="126">
        <f t="shared" si="10"/>
        <v>0</v>
      </c>
    </row>
    <row r="247" spans="1:32" hidden="1" x14ac:dyDescent="0.25">
      <c r="A247" s="59"/>
      <c r="B247" s="121"/>
      <c r="C247" s="122"/>
      <c r="D247" s="115"/>
      <c r="E247" s="122"/>
      <c r="F247" s="138"/>
      <c r="G247" s="122"/>
      <c r="H247" s="138"/>
      <c r="I247" s="122"/>
      <c r="J247" s="138"/>
      <c r="K247" s="122"/>
      <c r="L247" s="138"/>
      <c r="M247" s="122"/>
      <c r="N247" s="138"/>
      <c r="O247" s="122"/>
      <c r="P247" s="138"/>
      <c r="Q247" s="122"/>
      <c r="R247" s="138"/>
      <c r="S247" s="61"/>
      <c r="U247" s="143"/>
      <c r="V247" s="117"/>
      <c r="W247" s="118"/>
      <c r="X247" s="143"/>
      <c r="Y247" s="117"/>
      <c r="Z247" s="118"/>
      <c r="AA247" s="124"/>
      <c r="AB247" s="125"/>
      <c r="AC247" s="125"/>
      <c r="AD247" s="117"/>
      <c r="AE247" s="117"/>
      <c r="AF247" s="126">
        <f t="shared" si="10"/>
        <v>0</v>
      </c>
    </row>
    <row r="248" spans="1:32" hidden="1" x14ac:dyDescent="0.25">
      <c r="A248" s="59"/>
      <c r="B248" s="121"/>
      <c r="C248" s="122"/>
      <c r="D248" s="115"/>
      <c r="E248" s="122"/>
      <c r="F248" s="138"/>
      <c r="G248" s="122"/>
      <c r="H248" s="138"/>
      <c r="I248" s="122"/>
      <c r="J248" s="138"/>
      <c r="K248" s="122"/>
      <c r="L248" s="138"/>
      <c r="M248" s="122"/>
      <c r="N248" s="138"/>
      <c r="O248" s="122"/>
      <c r="P248" s="138"/>
      <c r="Q248" s="122"/>
      <c r="R248" s="138"/>
      <c r="S248" s="61"/>
      <c r="U248" s="143"/>
      <c r="V248" s="117"/>
      <c r="W248" s="118"/>
      <c r="X248" s="143"/>
      <c r="Y248" s="117"/>
      <c r="Z248" s="118"/>
      <c r="AA248" s="124"/>
      <c r="AB248" s="125"/>
      <c r="AC248" s="125"/>
      <c r="AD248" s="117"/>
      <c r="AE248" s="117"/>
      <c r="AF248" s="126">
        <f t="shared" si="10"/>
        <v>0</v>
      </c>
    </row>
    <row r="249" spans="1:32" hidden="1" x14ac:dyDescent="0.25">
      <c r="A249" s="59"/>
      <c r="B249" s="121"/>
      <c r="C249" s="122"/>
      <c r="D249" s="115"/>
      <c r="E249" s="122"/>
      <c r="F249" s="138"/>
      <c r="G249" s="122"/>
      <c r="H249" s="138"/>
      <c r="I249" s="122"/>
      <c r="J249" s="138"/>
      <c r="K249" s="122"/>
      <c r="L249" s="138"/>
      <c r="M249" s="122"/>
      <c r="N249" s="138"/>
      <c r="O249" s="122"/>
      <c r="P249" s="138"/>
      <c r="Q249" s="122"/>
      <c r="R249" s="138"/>
      <c r="S249" s="61"/>
      <c r="U249" s="143"/>
      <c r="V249" s="117"/>
      <c r="W249" s="118"/>
      <c r="X249" s="143"/>
      <c r="Y249" s="117"/>
      <c r="Z249" s="118"/>
      <c r="AA249" s="124"/>
      <c r="AB249" s="125"/>
      <c r="AC249" s="125"/>
      <c r="AD249" s="117"/>
      <c r="AE249" s="117"/>
      <c r="AF249" s="126">
        <f t="shared" si="10"/>
        <v>0</v>
      </c>
    </row>
    <row r="250" spans="1:32" ht="25.5" collapsed="1" x14ac:dyDescent="0.25">
      <c r="A250" s="59"/>
      <c r="B250" s="664" t="s">
        <v>973</v>
      </c>
      <c r="C250" s="130"/>
      <c r="D250" s="130"/>
      <c r="E250" s="130"/>
      <c r="F250" s="130"/>
      <c r="G250" s="130"/>
      <c r="H250" s="130"/>
      <c r="I250" s="130"/>
      <c r="J250" s="130"/>
      <c r="K250" s="130"/>
      <c r="L250" s="130"/>
      <c r="M250" s="130"/>
      <c r="N250" s="130"/>
      <c r="O250" s="130"/>
      <c r="P250" s="130"/>
      <c r="Q250" s="130"/>
      <c r="R250" s="131"/>
      <c r="S250" s="94"/>
      <c r="U250" s="145"/>
      <c r="V250" s="136"/>
      <c r="W250" s="134"/>
      <c r="X250" s="144"/>
      <c r="Y250" s="133"/>
      <c r="Z250" s="134"/>
      <c r="AA250" s="135"/>
      <c r="AB250" s="136"/>
      <c r="AC250" s="136"/>
      <c r="AD250" s="136"/>
      <c r="AE250" s="136"/>
      <c r="AF250" s="137" t="str">
        <f t="shared" si="10"/>
        <v>Alarm devices - Sound and Voice and Light (Beacon)
Volume settings is assumed as "high" for calculation.</v>
      </c>
    </row>
    <row r="251" spans="1:32" ht="13" hidden="1" outlineLevel="1" x14ac:dyDescent="0.25">
      <c r="A251" s="59"/>
      <c r="B251" s="346" t="s">
        <v>908</v>
      </c>
      <c r="C251" s="122">
        <v>0</v>
      </c>
      <c r="D251" s="113" t="s">
        <v>147</v>
      </c>
      <c r="E251" s="123">
        <v>0</v>
      </c>
      <c r="F251" s="115" t="s">
        <v>147</v>
      </c>
      <c r="G251" s="122">
        <v>0</v>
      </c>
      <c r="H251" s="113" t="s">
        <v>147</v>
      </c>
      <c r="I251" s="123">
        <v>0</v>
      </c>
      <c r="J251" s="115" t="s">
        <v>147</v>
      </c>
      <c r="K251" s="122">
        <v>0</v>
      </c>
      <c r="L251" s="113" t="s">
        <v>147</v>
      </c>
      <c r="M251" s="123">
        <v>0</v>
      </c>
      <c r="N251" s="115" t="s">
        <v>147</v>
      </c>
      <c r="O251" s="122">
        <v>0</v>
      </c>
      <c r="P251" s="113" t="s">
        <v>147</v>
      </c>
      <c r="Q251" s="123">
        <v>0</v>
      </c>
      <c r="R251" s="115" t="s">
        <v>147</v>
      </c>
      <c r="S251" s="61"/>
      <c r="U251" s="116">
        <f t="shared" ref="U251:U297" si="11">V251+W251</f>
        <v>1.25</v>
      </c>
      <c r="V251" s="117">
        <v>1.25</v>
      </c>
      <c r="W251" s="118">
        <v>0</v>
      </c>
      <c r="X251" s="116">
        <f t="shared" ref="X251:X297" si="12">Y251+Z251</f>
        <v>111</v>
      </c>
      <c r="Y251" s="117">
        <v>23</v>
      </c>
      <c r="Z251" s="118">
        <v>88</v>
      </c>
      <c r="AA251" s="124">
        <v>1</v>
      </c>
      <c r="AB251" s="125">
        <v>1</v>
      </c>
      <c r="AC251" s="125">
        <v>0</v>
      </c>
      <c r="AD251" s="117">
        <v>1</v>
      </c>
      <c r="AE251" s="117">
        <v>1</v>
      </c>
      <c r="AF251" s="126" t="str">
        <f t="shared" si="10"/>
        <v>FDS227 - Voice sounder beacon, Red Light, High Intensity</v>
      </c>
    </row>
    <row r="252" spans="1:32" ht="13" hidden="1" outlineLevel="1" x14ac:dyDescent="0.25">
      <c r="A252" s="59"/>
      <c r="B252" s="346" t="s">
        <v>909</v>
      </c>
      <c r="C252" s="122">
        <v>0</v>
      </c>
      <c r="D252" s="113" t="s">
        <v>147</v>
      </c>
      <c r="E252" s="123">
        <v>0</v>
      </c>
      <c r="F252" s="115" t="s">
        <v>147</v>
      </c>
      <c r="G252" s="122">
        <v>0</v>
      </c>
      <c r="H252" s="113" t="s">
        <v>147</v>
      </c>
      <c r="I252" s="123">
        <v>0</v>
      </c>
      <c r="J252" s="115" t="s">
        <v>147</v>
      </c>
      <c r="K252" s="122">
        <v>0</v>
      </c>
      <c r="L252" s="113" t="s">
        <v>147</v>
      </c>
      <c r="M252" s="123">
        <v>0</v>
      </c>
      <c r="N252" s="115" t="s">
        <v>147</v>
      </c>
      <c r="O252" s="122">
        <v>0</v>
      </c>
      <c r="P252" s="113" t="s">
        <v>147</v>
      </c>
      <c r="Q252" s="123">
        <v>0</v>
      </c>
      <c r="R252" s="115" t="s">
        <v>147</v>
      </c>
      <c r="S252" s="61"/>
      <c r="U252" s="116">
        <f t="shared" si="11"/>
        <v>1.25</v>
      </c>
      <c r="V252" s="117">
        <v>1.25</v>
      </c>
      <c r="W252" s="118">
        <v>0</v>
      </c>
      <c r="X252" s="116">
        <f t="shared" si="12"/>
        <v>81</v>
      </c>
      <c r="Y252" s="117">
        <v>23</v>
      </c>
      <c r="Z252" s="118">
        <v>58</v>
      </c>
      <c r="AA252" s="124">
        <v>1</v>
      </c>
      <c r="AB252" s="125">
        <v>1</v>
      </c>
      <c r="AC252" s="125">
        <v>0</v>
      </c>
      <c r="AD252" s="117">
        <v>1</v>
      </c>
      <c r="AE252" s="117">
        <v>1</v>
      </c>
      <c r="AF252" s="126" t="str">
        <f t="shared" si="10"/>
        <v>FDS227 - Voice sounder beacon, Red Light, Medium Intensity</v>
      </c>
    </row>
    <row r="253" spans="1:32" ht="13" hidden="1" outlineLevel="1" x14ac:dyDescent="0.25">
      <c r="A253" s="59"/>
      <c r="B253" s="346" t="s">
        <v>910</v>
      </c>
      <c r="C253" s="122">
        <v>0</v>
      </c>
      <c r="D253" s="113" t="s">
        <v>147</v>
      </c>
      <c r="E253" s="123">
        <v>0</v>
      </c>
      <c r="F253" s="115" t="s">
        <v>147</v>
      </c>
      <c r="G253" s="122">
        <v>0</v>
      </c>
      <c r="H253" s="113" t="s">
        <v>147</v>
      </c>
      <c r="I253" s="123">
        <v>0</v>
      </c>
      <c r="J253" s="115" t="s">
        <v>147</v>
      </c>
      <c r="K253" s="122">
        <v>0</v>
      </c>
      <c r="L253" s="113" t="s">
        <v>147</v>
      </c>
      <c r="M253" s="123">
        <v>0</v>
      </c>
      <c r="N253" s="115" t="s">
        <v>147</v>
      </c>
      <c r="O253" s="122">
        <v>0</v>
      </c>
      <c r="P253" s="113" t="s">
        <v>147</v>
      </c>
      <c r="Q253" s="123">
        <v>0</v>
      </c>
      <c r="R253" s="115" t="s">
        <v>147</v>
      </c>
      <c r="S253" s="61"/>
      <c r="U253" s="116">
        <f t="shared" si="11"/>
        <v>1.25</v>
      </c>
      <c r="V253" s="117">
        <v>1.25</v>
      </c>
      <c r="W253" s="118">
        <v>0</v>
      </c>
      <c r="X253" s="116">
        <f t="shared" si="12"/>
        <v>65</v>
      </c>
      <c r="Y253" s="117">
        <v>23</v>
      </c>
      <c r="Z253" s="118">
        <v>42</v>
      </c>
      <c r="AA253" s="124">
        <v>1</v>
      </c>
      <c r="AB253" s="125">
        <v>1</v>
      </c>
      <c r="AC253" s="125">
        <v>0</v>
      </c>
      <c r="AD253" s="117">
        <v>1</v>
      </c>
      <c r="AE253" s="117">
        <v>1</v>
      </c>
      <c r="AF253" s="126" t="str">
        <f t="shared" si="10"/>
        <v>FDS227 - Voice sounder beacon, Red Light, Low Intensity</v>
      </c>
    </row>
    <row r="254" spans="1:32" ht="13" hidden="1" outlineLevel="1" x14ac:dyDescent="0.25">
      <c r="A254" s="59"/>
      <c r="B254" s="346" t="s">
        <v>911</v>
      </c>
      <c r="C254" s="122">
        <v>0</v>
      </c>
      <c r="D254" s="113" t="s">
        <v>147</v>
      </c>
      <c r="E254" s="123">
        <v>0</v>
      </c>
      <c r="F254" s="115" t="s">
        <v>147</v>
      </c>
      <c r="G254" s="122">
        <v>0</v>
      </c>
      <c r="H254" s="113" t="s">
        <v>147</v>
      </c>
      <c r="I254" s="123">
        <v>0</v>
      </c>
      <c r="J254" s="115" t="s">
        <v>147</v>
      </c>
      <c r="K254" s="122">
        <v>0</v>
      </c>
      <c r="L254" s="113" t="s">
        <v>147</v>
      </c>
      <c r="M254" s="123">
        <v>0</v>
      </c>
      <c r="N254" s="115" t="s">
        <v>147</v>
      </c>
      <c r="O254" s="122">
        <v>0</v>
      </c>
      <c r="P254" s="113" t="s">
        <v>147</v>
      </c>
      <c r="Q254" s="123">
        <v>0</v>
      </c>
      <c r="R254" s="115" t="s">
        <v>147</v>
      </c>
      <c r="S254" s="61"/>
      <c r="U254" s="116">
        <f t="shared" si="11"/>
        <v>1.25</v>
      </c>
      <c r="V254" s="117">
        <v>1.25</v>
      </c>
      <c r="W254" s="118">
        <v>0</v>
      </c>
      <c r="X254" s="116">
        <f t="shared" si="12"/>
        <v>32</v>
      </c>
      <c r="Y254" s="117">
        <v>23</v>
      </c>
      <c r="Z254" s="118">
        <v>9</v>
      </c>
      <c r="AA254" s="124">
        <v>1</v>
      </c>
      <c r="AB254" s="125">
        <v>1</v>
      </c>
      <c r="AC254" s="125">
        <v>0</v>
      </c>
      <c r="AD254" s="117">
        <v>1</v>
      </c>
      <c r="AE254" s="117">
        <v>0</v>
      </c>
      <c r="AF254" s="126" t="str">
        <f t="shared" si="10"/>
        <v>FDS227 - Voice sounder beacon, Red Light, Indicator Mode</v>
      </c>
    </row>
    <row r="255" spans="1:32" ht="13" hidden="1" outlineLevel="1" x14ac:dyDescent="0.25">
      <c r="A255" s="59"/>
      <c r="B255" s="346" t="s">
        <v>912</v>
      </c>
      <c r="C255" s="122">
        <v>0</v>
      </c>
      <c r="D255" s="113" t="s">
        <v>147</v>
      </c>
      <c r="E255" s="123">
        <v>0</v>
      </c>
      <c r="F255" s="115" t="s">
        <v>147</v>
      </c>
      <c r="G255" s="122">
        <v>0</v>
      </c>
      <c r="H255" s="113" t="s">
        <v>147</v>
      </c>
      <c r="I255" s="123">
        <v>0</v>
      </c>
      <c r="J255" s="115" t="s">
        <v>147</v>
      </c>
      <c r="K255" s="122">
        <v>0</v>
      </c>
      <c r="L255" s="113" t="s">
        <v>147</v>
      </c>
      <c r="M255" s="123">
        <v>0</v>
      </c>
      <c r="N255" s="115" t="s">
        <v>147</v>
      </c>
      <c r="O255" s="122">
        <v>0</v>
      </c>
      <c r="P255" s="113" t="s">
        <v>147</v>
      </c>
      <c r="Q255" s="123">
        <v>0</v>
      </c>
      <c r="R255" s="115" t="s">
        <v>147</v>
      </c>
      <c r="S255" s="61"/>
      <c r="U255" s="116">
        <f t="shared" si="11"/>
        <v>1.25</v>
      </c>
      <c r="V255" s="117">
        <v>1.25</v>
      </c>
      <c r="W255" s="118">
        <v>0</v>
      </c>
      <c r="X255" s="116">
        <f t="shared" si="12"/>
        <v>110</v>
      </c>
      <c r="Y255" s="117">
        <v>23</v>
      </c>
      <c r="Z255" s="118">
        <v>87</v>
      </c>
      <c r="AA255" s="124">
        <v>1</v>
      </c>
      <c r="AB255" s="125">
        <v>1</v>
      </c>
      <c r="AC255" s="125">
        <v>0</v>
      </c>
      <c r="AD255" s="117">
        <v>1</v>
      </c>
      <c r="AE255" s="117">
        <v>1</v>
      </c>
      <c r="AF255" s="126" t="str">
        <f t="shared" si="10"/>
        <v>FDS227 - Voice sounder beacon, White Light, High Intensity</v>
      </c>
    </row>
    <row r="256" spans="1:32" ht="13" hidden="1" outlineLevel="1" x14ac:dyDescent="0.25">
      <c r="A256" s="59"/>
      <c r="B256" s="346" t="s">
        <v>913</v>
      </c>
      <c r="C256" s="122">
        <v>0</v>
      </c>
      <c r="D256" s="113" t="s">
        <v>147</v>
      </c>
      <c r="E256" s="123">
        <v>0</v>
      </c>
      <c r="F256" s="115" t="s">
        <v>147</v>
      </c>
      <c r="G256" s="122">
        <v>0</v>
      </c>
      <c r="H256" s="113" t="s">
        <v>147</v>
      </c>
      <c r="I256" s="123">
        <v>0</v>
      </c>
      <c r="J256" s="115" t="s">
        <v>147</v>
      </c>
      <c r="K256" s="122">
        <v>0</v>
      </c>
      <c r="L256" s="113" t="s">
        <v>147</v>
      </c>
      <c r="M256" s="123">
        <v>0</v>
      </c>
      <c r="N256" s="115" t="s">
        <v>147</v>
      </c>
      <c r="O256" s="122">
        <v>0</v>
      </c>
      <c r="P256" s="113" t="s">
        <v>147</v>
      </c>
      <c r="Q256" s="123">
        <v>0</v>
      </c>
      <c r="R256" s="115" t="s">
        <v>147</v>
      </c>
      <c r="S256" s="61"/>
      <c r="U256" s="116">
        <f t="shared" si="11"/>
        <v>1.25</v>
      </c>
      <c r="V256" s="117">
        <v>1.25</v>
      </c>
      <c r="W256" s="118">
        <v>0</v>
      </c>
      <c r="X256" s="116">
        <f t="shared" si="12"/>
        <v>63</v>
      </c>
      <c r="Y256" s="117">
        <v>23</v>
      </c>
      <c r="Z256" s="118">
        <v>40</v>
      </c>
      <c r="AA256" s="124">
        <v>1</v>
      </c>
      <c r="AB256" s="125">
        <v>1</v>
      </c>
      <c r="AC256" s="125">
        <v>0</v>
      </c>
      <c r="AD256" s="117">
        <v>1</v>
      </c>
      <c r="AE256" s="117">
        <v>1</v>
      </c>
      <c r="AF256" s="126" t="str">
        <f t="shared" si="10"/>
        <v>FDS227 - Voice sounder beacon, White Light, Medium Intensity</v>
      </c>
    </row>
    <row r="257" spans="1:32" ht="13" hidden="1" outlineLevel="1" x14ac:dyDescent="0.25">
      <c r="A257" s="59"/>
      <c r="B257" s="346" t="s">
        <v>914</v>
      </c>
      <c r="C257" s="122">
        <v>0</v>
      </c>
      <c r="D257" s="113" t="s">
        <v>147</v>
      </c>
      <c r="E257" s="123">
        <v>0</v>
      </c>
      <c r="F257" s="115" t="s">
        <v>147</v>
      </c>
      <c r="G257" s="122">
        <v>0</v>
      </c>
      <c r="H257" s="113" t="s">
        <v>147</v>
      </c>
      <c r="I257" s="123">
        <v>0</v>
      </c>
      <c r="J257" s="115" t="s">
        <v>147</v>
      </c>
      <c r="K257" s="122">
        <v>0</v>
      </c>
      <c r="L257" s="113" t="s">
        <v>147</v>
      </c>
      <c r="M257" s="123">
        <v>0</v>
      </c>
      <c r="N257" s="115" t="s">
        <v>147</v>
      </c>
      <c r="O257" s="122">
        <v>0</v>
      </c>
      <c r="P257" s="113" t="s">
        <v>147</v>
      </c>
      <c r="Q257" s="123">
        <v>0</v>
      </c>
      <c r="R257" s="115" t="s">
        <v>147</v>
      </c>
      <c r="S257" s="61"/>
      <c r="U257" s="116">
        <f t="shared" si="11"/>
        <v>1.25</v>
      </c>
      <c r="V257" s="117">
        <v>1.25</v>
      </c>
      <c r="W257" s="118">
        <v>0</v>
      </c>
      <c r="X257" s="116">
        <f t="shared" si="12"/>
        <v>52</v>
      </c>
      <c r="Y257" s="117">
        <v>23</v>
      </c>
      <c r="Z257" s="118">
        <v>29</v>
      </c>
      <c r="AA257" s="124">
        <v>1</v>
      </c>
      <c r="AB257" s="125">
        <v>1</v>
      </c>
      <c r="AC257" s="125">
        <v>0</v>
      </c>
      <c r="AD257" s="117">
        <v>1</v>
      </c>
      <c r="AE257" s="117">
        <v>1</v>
      </c>
      <c r="AF257" s="126" t="str">
        <f t="shared" si="10"/>
        <v>FDS227 - Voice sounder beacon, White Light, Low Intensity</v>
      </c>
    </row>
    <row r="258" spans="1:32" ht="13" hidden="1" outlineLevel="1" x14ac:dyDescent="0.25">
      <c r="A258" s="59"/>
      <c r="B258" s="346" t="s">
        <v>915</v>
      </c>
      <c r="C258" s="122">
        <v>0</v>
      </c>
      <c r="D258" s="113" t="s">
        <v>147</v>
      </c>
      <c r="E258" s="123">
        <v>0</v>
      </c>
      <c r="F258" s="115" t="s">
        <v>147</v>
      </c>
      <c r="G258" s="122">
        <v>0</v>
      </c>
      <c r="H258" s="113" t="s">
        <v>147</v>
      </c>
      <c r="I258" s="123">
        <v>0</v>
      </c>
      <c r="J258" s="115" t="s">
        <v>147</v>
      </c>
      <c r="K258" s="122">
        <v>0</v>
      </c>
      <c r="L258" s="113" t="s">
        <v>147</v>
      </c>
      <c r="M258" s="123">
        <v>0</v>
      </c>
      <c r="N258" s="115" t="s">
        <v>147</v>
      </c>
      <c r="O258" s="122">
        <v>0</v>
      </c>
      <c r="P258" s="113" t="s">
        <v>147</v>
      </c>
      <c r="Q258" s="123">
        <v>0</v>
      </c>
      <c r="R258" s="115" t="s">
        <v>147</v>
      </c>
      <c r="S258" s="61"/>
      <c r="U258" s="116">
        <f t="shared" si="11"/>
        <v>1.25</v>
      </c>
      <c r="V258" s="117">
        <v>1.25</v>
      </c>
      <c r="W258" s="118">
        <v>0</v>
      </c>
      <c r="X258" s="116">
        <f t="shared" si="12"/>
        <v>32</v>
      </c>
      <c r="Y258" s="117">
        <v>23</v>
      </c>
      <c r="Z258" s="118">
        <v>9</v>
      </c>
      <c r="AA258" s="124">
        <v>1</v>
      </c>
      <c r="AB258" s="125">
        <v>1</v>
      </c>
      <c r="AC258" s="125">
        <v>0</v>
      </c>
      <c r="AD258" s="117">
        <v>1</v>
      </c>
      <c r="AE258" s="117">
        <v>0</v>
      </c>
      <c r="AF258" s="126" t="str">
        <f t="shared" si="10"/>
        <v>FDS227 - Voice sounder beacon, White Light, Indicator Mode</v>
      </c>
    </row>
    <row r="259" spans="1:32" ht="13" hidden="1" outlineLevel="1" x14ac:dyDescent="0.25">
      <c r="A259" s="59"/>
      <c r="B259" s="346" t="s">
        <v>916</v>
      </c>
      <c r="C259" s="122">
        <v>0</v>
      </c>
      <c r="D259" s="113" t="s">
        <v>147</v>
      </c>
      <c r="E259" s="123">
        <v>0</v>
      </c>
      <c r="F259" s="115" t="s">
        <v>147</v>
      </c>
      <c r="G259" s="122">
        <v>0</v>
      </c>
      <c r="H259" s="113" t="s">
        <v>147</v>
      </c>
      <c r="I259" s="123">
        <v>0</v>
      </c>
      <c r="J259" s="115" t="s">
        <v>147</v>
      </c>
      <c r="K259" s="122">
        <v>0</v>
      </c>
      <c r="L259" s="113" t="s">
        <v>147</v>
      </c>
      <c r="M259" s="123">
        <v>0</v>
      </c>
      <c r="N259" s="115" t="s">
        <v>147</v>
      </c>
      <c r="O259" s="122">
        <v>0</v>
      </c>
      <c r="P259" s="113" t="s">
        <v>147</v>
      </c>
      <c r="Q259" s="123">
        <v>0</v>
      </c>
      <c r="R259" s="115" t="s">
        <v>147</v>
      </c>
      <c r="S259" s="61"/>
      <c r="U259" s="116">
        <f t="shared" si="11"/>
        <v>1.25</v>
      </c>
      <c r="V259" s="117">
        <v>1.25</v>
      </c>
      <c r="W259" s="118">
        <v>0</v>
      </c>
      <c r="X259" s="116">
        <f t="shared" si="12"/>
        <v>116</v>
      </c>
      <c r="Y259" s="117">
        <v>24</v>
      </c>
      <c r="Z259" s="118">
        <v>92</v>
      </c>
      <c r="AA259" s="124">
        <v>1</v>
      </c>
      <c r="AB259" s="125">
        <v>1</v>
      </c>
      <c r="AC259" s="125">
        <v>0</v>
      </c>
      <c r="AD259" s="117">
        <v>1</v>
      </c>
      <c r="AE259" s="117">
        <v>1</v>
      </c>
      <c r="AF259" s="126" t="str">
        <f t="shared" si="10"/>
        <v>FDSB227 - Voice sounder beacon base, Red Light, High Intensity</v>
      </c>
    </row>
    <row r="260" spans="1:32" ht="13" hidden="1" outlineLevel="1" x14ac:dyDescent="0.25">
      <c r="A260" s="59"/>
      <c r="B260" s="346" t="s">
        <v>917</v>
      </c>
      <c r="C260" s="122">
        <v>0</v>
      </c>
      <c r="D260" s="113" t="s">
        <v>147</v>
      </c>
      <c r="E260" s="123">
        <v>0</v>
      </c>
      <c r="F260" s="115" t="s">
        <v>147</v>
      </c>
      <c r="G260" s="122">
        <v>0</v>
      </c>
      <c r="H260" s="113" t="s">
        <v>147</v>
      </c>
      <c r="I260" s="123">
        <v>0</v>
      </c>
      <c r="J260" s="115" t="s">
        <v>147</v>
      </c>
      <c r="K260" s="122">
        <v>0</v>
      </c>
      <c r="L260" s="113" t="s">
        <v>147</v>
      </c>
      <c r="M260" s="123">
        <v>0</v>
      </c>
      <c r="N260" s="115" t="s">
        <v>147</v>
      </c>
      <c r="O260" s="122">
        <v>0</v>
      </c>
      <c r="P260" s="113" t="s">
        <v>147</v>
      </c>
      <c r="Q260" s="123">
        <v>0</v>
      </c>
      <c r="R260" s="115" t="s">
        <v>147</v>
      </c>
      <c r="S260" s="61"/>
      <c r="U260" s="116">
        <f t="shared" si="11"/>
        <v>1.25</v>
      </c>
      <c r="V260" s="117">
        <v>1.25</v>
      </c>
      <c r="W260" s="118">
        <v>0</v>
      </c>
      <c r="X260" s="116">
        <f t="shared" si="12"/>
        <v>88</v>
      </c>
      <c r="Y260" s="117">
        <v>24</v>
      </c>
      <c r="Z260" s="118">
        <v>64</v>
      </c>
      <c r="AA260" s="124">
        <v>1</v>
      </c>
      <c r="AB260" s="125">
        <v>1</v>
      </c>
      <c r="AC260" s="125">
        <v>0</v>
      </c>
      <c r="AD260" s="117">
        <v>1</v>
      </c>
      <c r="AE260" s="117">
        <v>1</v>
      </c>
      <c r="AF260" s="126" t="str">
        <f t="shared" si="10"/>
        <v>FDSB227 - Voice sounder beacon base, Red Light, Medium Intensity</v>
      </c>
    </row>
    <row r="261" spans="1:32" ht="13" hidden="1" outlineLevel="1" x14ac:dyDescent="0.25">
      <c r="A261" s="59"/>
      <c r="B261" s="346" t="s">
        <v>918</v>
      </c>
      <c r="C261" s="122">
        <v>0</v>
      </c>
      <c r="D261" s="113" t="s">
        <v>147</v>
      </c>
      <c r="E261" s="123">
        <v>0</v>
      </c>
      <c r="F261" s="115" t="s">
        <v>147</v>
      </c>
      <c r="G261" s="122">
        <v>0</v>
      </c>
      <c r="H261" s="113" t="s">
        <v>147</v>
      </c>
      <c r="I261" s="123">
        <v>0</v>
      </c>
      <c r="J261" s="115" t="s">
        <v>147</v>
      </c>
      <c r="K261" s="122">
        <v>0</v>
      </c>
      <c r="L261" s="113" t="s">
        <v>147</v>
      </c>
      <c r="M261" s="123">
        <v>0</v>
      </c>
      <c r="N261" s="115" t="s">
        <v>147</v>
      </c>
      <c r="O261" s="122">
        <v>0</v>
      </c>
      <c r="P261" s="113" t="s">
        <v>147</v>
      </c>
      <c r="Q261" s="123">
        <v>0</v>
      </c>
      <c r="R261" s="115" t="s">
        <v>147</v>
      </c>
      <c r="S261" s="61"/>
      <c r="U261" s="116">
        <f t="shared" si="11"/>
        <v>1.25</v>
      </c>
      <c r="V261" s="117">
        <v>1.25</v>
      </c>
      <c r="W261" s="118">
        <v>0</v>
      </c>
      <c r="X261" s="116">
        <f t="shared" si="12"/>
        <v>61</v>
      </c>
      <c r="Y261" s="117">
        <v>24</v>
      </c>
      <c r="Z261" s="118">
        <v>37</v>
      </c>
      <c r="AA261" s="124">
        <v>1</v>
      </c>
      <c r="AB261" s="125">
        <v>1</v>
      </c>
      <c r="AC261" s="125">
        <v>0</v>
      </c>
      <c r="AD261" s="117">
        <v>1</v>
      </c>
      <c r="AE261" s="117">
        <v>1</v>
      </c>
      <c r="AF261" s="126" t="str">
        <f t="shared" si="10"/>
        <v>FDSB227 - Voice sounder beacon base, Red Light, Low Intensity</v>
      </c>
    </row>
    <row r="262" spans="1:32" ht="13" hidden="1" outlineLevel="1" x14ac:dyDescent="0.25">
      <c r="A262" s="59"/>
      <c r="B262" s="346" t="s">
        <v>919</v>
      </c>
      <c r="C262" s="122">
        <v>0</v>
      </c>
      <c r="D262" s="113" t="s">
        <v>147</v>
      </c>
      <c r="E262" s="123">
        <v>0</v>
      </c>
      <c r="F262" s="115" t="s">
        <v>147</v>
      </c>
      <c r="G262" s="122">
        <v>0</v>
      </c>
      <c r="H262" s="113" t="s">
        <v>147</v>
      </c>
      <c r="I262" s="123">
        <v>0</v>
      </c>
      <c r="J262" s="115" t="s">
        <v>147</v>
      </c>
      <c r="K262" s="122">
        <v>0</v>
      </c>
      <c r="L262" s="113" t="s">
        <v>147</v>
      </c>
      <c r="M262" s="123">
        <v>0</v>
      </c>
      <c r="N262" s="115" t="s">
        <v>147</v>
      </c>
      <c r="O262" s="122">
        <v>0</v>
      </c>
      <c r="P262" s="113" t="s">
        <v>147</v>
      </c>
      <c r="Q262" s="123">
        <v>0</v>
      </c>
      <c r="R262" s="115" t="s">
        <v>147</v>
      </c>
      <c r="S262" s="61"/>
      <c r="U262" s="116">
        <f t="shared" si="11"/>
        <v>1.25</v>
      </c>
      <c r="V262" s="117">
        <v>1.25</v>
      </c>
      <c r="W262" s="118">
        <v>0</v>
      </c>
      <c r="X262" s="116">
        <f t="shared" si="12"/>
        <v>33</v>
      </c>
      <c r="Y262" s="117">
        <v>24</v>
      </c>
      <c r="Z262" s="118">
        <v>9</v>
      </c>
      <c r="AA262" s="124">
        <v>1</v>
      </c>
      <c r="AB262" s="125">
        <v>1</v>
      </c>
      <c r="AC262" s="125">
        <v>0</v>
      </c>
      <c r="AD262" s="117">
        <v>1</v>
      </c>
      <c r="AE262" s="117">
        <v>0</v>
      </c>
      <c r="AF262" s="126" t="str">
        <f t="shared" si="10"/>
        <v>FDSB227 - Voice sounder beacon base, Red Light, Indicator Mode</v>
      </c>
    </row>
    <row r="263" spans="1:32" ht="13" hidden="1" outlineLevel="1" x14ac:dyDescent="0.25">
      <c r="A263" s="59"/>
      <c r="B263" s="346" t="s">
        <v>920</v>
      </c>
      <c r="C263" s="122">
        <v>0</v>
      </c>
      <c r="D263" s="113" t="s">
        <v>147</v>
      </c>
      <c r="E263" s="123">
        <v>0</v>
      </c>
      <c r="F263" s="115" t="s">
        <v>147</v>
      </c>
      <c r="G263" s="122">
        <v>0</v>
      </c>
      <c r="H263" s="113" t="s">
        <v>147</v>
      </c>
      <c r="I263" s="123">
        <v>0</v>
      </c>
      <c r="J263" s="115" t="s">
        <v>147</v>
      </c>
      <c r="K263" s="122">
        <v>0</v>
      </c>
      <c r="L263" s="113" t="s">
        <v>147</v>
      </c>
      <c r="M263" s="123">
        <v>0</v>
      </c>
      <c r="N263" s="115" t="s">
        <v>147</v>
      </c>
      <c r="O263" s="122">
        <v>0</v>
      </c>
      <c r="P263" s="113" t="s">
        <v>147</v>
      </c>
      <c r="Q263" s="123">
        <v>0</v>
      </c>
      <c r="R263" s="115" t="s">
        <v>147</v>
      </c>
      <c r="S263" s="61"/>
      <c r="U263" s="116">
        <f t="shared" si="11"/>
        <v>1.25</v>
      </c>
      <c r="V263" s="117">
        <v>1.25</v>
      </c>
      <c r="W263" s="118">
        <v>0</v>
      </c>
      <c r="X263" s="116">
        <f t="shared" si="12"/>
        <v>133</v>
      </c>
      <c r="Y263" s="117">
        <v>24</v>
      </c>
      <c r="Z263" s="118">
        <v>109</v>
      </c>
      <c r="AA263" s="124">
        <v>1</v>
      </c>
      <c r="AB263" s="125">
        <v>1</v>
      </c>
      <c r="AC263" s="125">
        <v>0</v>
      </c>
      <c r="AD263" s="117">
        <v>1</v>
      </c>
      <c r="AE263" s="117">
        <v>1</v>
      </c>
      <c r="AF263" s="126" t="str">
        <f t="shared" si="10"/>
        <v>FDSB227 - Voice sounder beacon base, White Light, High Intensity</v>
      </c>
    </row>
    <row r="264" spans="1:32" ht="13" hidden="1" outlineLevel="1" x14ac:dyDescent="0.25">
      <c r="A264" s="59"/>
      <c r="B264" s="346" t="s">
        <v>921</v>
      </c>
      <c r="C264" s="122">
        <v>0</v>
      </c>
      <c r="D264" s="113" t="s">
        <v>147</v>
      </c>
      <c r="E264" s="123">
        <v>0</v>
      </c>
      <c r="F264" s="115" t="s">
        <v>147</v>
      </c>
      <c r="G264" s="122">
        <v>0</v>
      </c>
      <c r="H264" s="113" t="s">
        <v>147</v>
      </c>
      <c r="I264" s="123">
        <v>0</v>
      </c>
      <c r="J264" s="115" t="s">
        <v>147</v>
      </c>
      <c r="K264" s="122">
        <v>0</v>
      </c>
      <c r="L264" s="113" t="s">
        <v>147</v>
      </c>
      <c r="M264" s="123">
        <v>0</v>
      </c>
      <c r="N264" s="115" t="s">
        <v>147</v>
      </c>
      <c r="O264" s="122">
        <v>0</v>
      </c>
      <c r="P264" s="113" t="s">
        <v>147</v>
      </c>
      <c r="Q264" s="123">
        <v>0</v>
      </c>
      <c r="R264" s="115" t="s">
        <v>147</v>
      </c>
      <c r="S264" s="61"/>
      <c r="U264" s="116">
        <f t="shared" si="11"/>
        <v>1.25</v>
      </c>
      <c r="V264" s="117">
        <v>1.25</v>
      </c>
      <c r="W264" s="118">
        <v>0</v>
      </c>
      <c r="X264" s="116">
        <f t="shared" si="12"/>
        <v>83</v>
      </c>
      <c r="Y264" s="117">
        <v>24</v>
      </c>
      <c r="Z264" s="118">
        <v>59</v>
      </c>
      <c r="AA264" s="124">
        <v>1</v>
      </c>
      <c r="AB264" s="125">
        <v>1</v>
      </c>
      <c r="AC264" s="125">
        <v>0</v>
      </c>
      <c r="AD264" s="117">
        <v>1</v>
      </c>
      <c r="AE264" s="117">
        <v>1</v>
      </c>
      <c r="AF264" s="126" t="str">
        <f t="shared" si="10"/>
        <v>FDSB227 - Voice sounder beacon base, White Light, Medium Intensity</v>
      </c>
    </row>
    <row r="265" spans="1:32" ht="13" hidden="1" outlineLevel="1" x14ac:dyDescent="0.25">
      <c r="A265" s="59"/>
      <c r="B265" s="346" t="s">
        <v>922</v>
      </c>
      <c r="C265" s="122">
        <v>0</v>
      </c>
      <c r="D265" s="113" t="s">
        <v>147</v>
      </c>
      <c r="E265" s="123">
        <v>0</v>
      </c>
      <c r="F265" s="115" t="s">
        <v>147</v>
      </c>
      <c r="G265" s="122">
        <v>0</v>
      </c>
      <c r="H265" s="113" t="s">
        <v>147</v>
      </c>
      <c r="I265" s="123">
        <v>0</v>
      </c>
      <c r="J265" s="115" t="s">
        <v>147</v>
      </c>
      <c r="K265" s="122">
        <v>0</v>
      </c>
      <c r="L265" s="113" t="s">
        <v>147</v>
      </c>
      <c r="M265" s="123">
        <v>0</v>
      </c>
      <c r="N265" s="115" t="s">
        <v>147</v>
      </c>
      <c r="O265" s="122">
        <v>0</v>
      </c>
      <c r="P265" s="113" t="s">
        <v>147</v>
      </c>
      <c r="Q265" s="123">
        <v>0</v>
      </c>
      <c r="R265" s="115" t="s">
        <v>147</v>
      </c>
      <c r="S265" s="61"/>
      <c r="U265" s="116">
        <f t="shared" si="11"/>
        <v>1.25</v>
      </c>
      <c r="V265" s="117">
        <v>1.25</v>
      </c>
      <c r="W265" s="118">
        <v>0</v>
      </c>
      <c r="X265" s="116">
        <f t="shared" si="12"/>
        <v>50</v>
      </c>
      <c r="Y265" s="117">
        <v>24</v>
      </c>
      <c r="Z265" s="118">
        <v>26</v>
      </c>
      <c r="AA265" s="124">
        <v>1</v>
      </c>
      <c r="AB265" s="125">
        <v>1</v>
      </c>
      <c r="AC265" s="125">
        <v>0</v>
      </c>
      <c r="AD265" s="117">
        <v>1</v>
      </c>
      <c r="AE265" s="117">
        <v>1</v>
      </c>
      <c r="AF265" s="126" t="str">
        <f t="shared" si="10"/>
        <v>FDSB227 - Voice sounder beacon base, White Light, Low Intensity</v>
      </c>
    </row>
    <row r="266" spans="1:32" ht="13" hidden="1" outlineLevel="1" x14ac:dyDescent="0.25">
      <c r="A266" s="59"/>
      <c r="B266" s="346" t="s">
        <v>923</v>
      </c>
      <c r="C266" s="122">
        <v>0</v>
      </c>
      <c r="D266" s="113" t="s">
        <v>780</v>
      </c>
      <c r="E266" s="123">
        <v>0</v>
      </c>
      <c r="F266" s="115" t="s">
        <v>147</v>
      </c>
      <c r="G266" s="122">
        <v>0</v>
      </c>
      <c r="H266" s="113" t="s">
        <v>147</v>
      </c>
      <c r="I266" s="123">
        <v>0</v>
      </c>
      <c r="J266" s="115" t="s">
        <v>147</v>
      </c>
      <c r="K266" s="122">
        <v>0</v>
      </c>
      <c r="L266" s="113" t="s">
        <v>147</v>
      </c>
      <c r="M266" s="123">
        <v>0</v>
      </c>
      <c r="N266" s="115" t="s">
        <v>147</v>
      </c>
      <c r="O266" s="122">
        <v>0</v>
      </c>
      <c r="P266" s="113" t="s">
        <v>147</v>
      </c>
      <c r="Q266" s="123">
        <v>0</v>
      </c>
      <c r="R266" s="115" t="s">
        <v>147</v>
      </c>
      <c r="S266" s="61"/>
      <c r="U266" s="116">
        <f t="shared" si="11"/>
        <v>1.25</v>
      </c>
      <c r="V266" s="117">
        <v>1.25</v>
      </c>
      <c r="W266" s="118">
        <v>0</v>
      </c>
      <c r="X266" s="116">
        <f t="shared" si="12"/>
        <v>33</v>
      </c>
      <c r="Y266" s="117">
        <v>24</v>
      </c>
      <c r="Z266" s="118">
        <v>9</v>
      </c>
      <c r="AA266" s="124">
        <v>1</v>
      </c>
      <c r="AB266" s="125">
        <v>1</v>
      </c>
      <c r="AC266" s="125">
        <v>0</v>
      </c>
      <c r="AD266" s="117">
        <v>1</v>
      </c>
      <c r="AE266" s="117">
        <v>0</v>
      </c>
      <c r="AF266" s="126" t="str">
        <f t="shared" si="10"/>
        <v>FDSB227 - Voice sounder beacon base, White Light, Indicator Mode</v>
      </c>
    </row>
    <row r="267" spans="1:32" hidden="1" x14ac:dyDescent="0.25">
      <c r="A267" s="59"/>
      <c r="B267" s="121"/>
      <c r="C267" s="122"/>
      <c r="D267" s="115"/>
      <c r="E267" s="122"/>
      <c r="F267" s="138"/>
      <c r="G267" s="122"/>
      <c r="H267" s="138"/>
      <c r="I267" s="122"/>
      <c r="J267" s="138"/>
      <c r="K267" s="122"/>
      <c r="L267" s="138"/>
      <c r="M267" s="122"/>
      <c r="N267" s="138"/>
      <c r="O267" s="122"/>
      <c r="P267" s="138"/>
      <c r="Q267" s="122"/>
      <c r="R267" s="138"/>
      <c r="S267" s="61"/>
      <c r="U267" s="116">
        <f t="shared" si="11"/>
        <v>0</v>
      </c>
      <c r="V267" s="117"/>
      <c r="W267" s="118"/>
      <c r="X267" s="116">
        <f t="shared" si="12"/>
        <v>0</v>
      </c>
      <c r="Y267" s="117"/>
      <c r="Z267" s="118"/>
      <c r="AA267" s="124"/>
      <c r="AB267" s="125"/>
      <c r="AC267" s="125"/>
      <c r="AD267" s="117"/>
      <c r="AE267" s="117"/>
      <c r="AF267" s="126">
        <f t="shared" si="10"/>
        <v>0</v>
      </c>
    </row>
    <row r="268" spans="1:32" hidden="1" x14ac:dyDescent="0.25">
      <c r="A268" s="59"/>
      <c r="B268" s="121"/>
      <c r="C268" s="122"/>
      <c r="D268" s="115"/>
      <c r="E268" s="122"/>
      <c r="F268" s="138"/>
      <c r="G268" s="122"/>
      <c r="H268" s="138"/>
      <c r="I268" s="122"/>
      <c r="J268" s="138"/>
      <c r="K268" s="122"/>
      <c r="L268" s="138"/>
      <c r="M268" s="122"/>
      <c r="N268" s="138"/>
      <c r="O268" s="122"/>
      <c r="P268" s="138"/>
      <c r="Q268" s="122"/>
      <c r="R268" s="138"/>
      <c r="S268" s="61"/>
      <c r="U268" s="116">
        <f t="shared" si="11"/>
        <v>0</v>
      </c>
      <c r="V268" s="117"/>
      <c r="W268" s="118"/>
      <c r="X268" s="116">
        <f t="shared" si="12"/>
        <v>0</v>
      </c>
      <c r="Y268" s="117"/>
      <c r="Z268" s="118"/>
      <c r="AA268" s="124"/>
      <c r="AB268" s="125"/>
      <c r="AC268" s="125"/>
      <c r="AD268" s="117"/>
      <c r="AE268" s="117"/>
      <c r="AF268" s="126">
        <f t="shared" si="10"/>
        <v>0</v>
      </c>
    </row>
    <row r="269" spans="1:32" hidden="1" x14ac:dyDescent="0.25">
      <c r="A269" s="59"/>
      <c r="B269" s="121"/>
      <c r="C269" s="122"/>
      <c r="D269" s="115"/>
      <c r="E269" s="122"/>
      <c r="F269" s="138"/>
      <c r="G269" s="122"/>
      <c r="H269" s="138"/>
      <c r="I269" s="122"/>
      <c r="J269" s="138"/>
      <c r="K269" s="122"/>
      <c r="L269" s="138"/>
      <c r="M269" s="122"/>
      <c r="N269" s="138"/>
      <c r="O269" s="122"/>
      <c r="P269" s="138"/>
      <c r="Q269" s="122"/>
      <c r="R269" s="138"/>
      <c r="S269" s="61"/>
      <c r="U269" s="116">
        <f t="shared" si="11"/>
        <v>0</v>
      </c>
      <c r="V269" s="117"/>
      <c r="W269" s="118"/>
      <c r="X269" s="116">
        <f t="shared" si="12"/>
        <v>0</v>
      </c>
      <c r="Y269" s="117"/>
      <c r="Z269" s="118"/>
      <c r="AA269" s="124"/>
      <c r="AB269" s="125"/>
      <c r="AC269" s="125"/>
      <c r="AD269" s="117"/>
      <c r="AE269" s="117"/>
      <c r="AF269" s="126">
        <f t="shared" si="10"/>
        <v>0</v>
      </c>
    </row>
    <row r="270" spans="1:32" hidden="1" x14ac:dyDescent="0.25">
      <c r="A270" s="59"/>
      <c r="B270" s="121"/>
      <c r="C270" s="122"/>
      <c r="D270" s="115"/>
      <c r="E270" s="122"/>
      <c r="F270" s="138"/>
      <c r="G270" s="122"/>
      <c r="H270" s="138"/>
      <c r="I270" s="122"/>
      <c r="J270" s="138"/>
      <c r="K270" s="122"/>
      <c r="L270" s="138"/>
      <c r="M270" s="122"/>
      <c r="N270" s="138"/>
      <c r="O270" s="122"/>
      <c r="P270" s="138"/>
      <c r="Q270" s="122"/>
      <c r="R270" s="138"/>
      <c r="S270" s="61"/>
      <c r="U270" s="116">
        <f t="shared" si="11"/>
        <v>0</v>
      </c>
      <c r="V270" s="117"/>
      <c r="W270" s="118"/>
      <c r="X270" s="116">
        <f t="shared" si="12"/>
        <v>0</v>
      </c>
      <c r="Y270" s="117"/>
      <c r="Z270" s="118"/>
      <c r="AA270" s="124"/>
      <c r="AB270" s="125"/>
      <c r="AC270" s="125"/>
      <c r="AD270" s="117"/>
      <c r="AE270" s="117"/>
      <c r="AF270" s="126">
        <f t="shared" si="10"/>
        <v>0</v>
      </c>
    </row>
    <row r="271" spans="1:32" hidden="1" x14ac:dyDescent="0.25">
      <c r="A271" s="59"/>
      <c r="B271" s="121"/>
      <c r="C271" s="122"/>
      <c r="D271" s="115"/>
      <c r="E271" s="122"/>
      <c r="F271" s="138"/>
      <c r="G271" s="122"/>
      <c r="H271" s="138"/>
      <c r="I271" s="122"/>
      <c r="J271" s="138"/>
      <c r="K271" s="122"/>
      <c r="L271" s="138"/>
      <c r="M271" s="122"/>
      <c r="N271" s="138"/>
      <c r="O271" s="122"/>
      <c r="P271" s="138"/>
      <c r="Q271" s="122"/>
      <c r="R271" s="138"/>
      <c r="S271" s="61"/>
      <c r="U271" s="116">
        <f t="shared" si="11"/>
        <v>0</v>
      </c>
      <c r="V271" s="117"/>
      <c r="W271" s="118"/>
      <c r="X271" s="116">
        <f t="shared" si="12"/>
        <v>0</v>
      </c>
      <c r="Y271" s="117"/>
      <c r="Z271" s="118"/>
      <c r="AA271" s="124"/>
      <c r="AB271" s="125"/>
      <c r="AC271" s="125"/>
      <c r="AD271" s="117"/>
      <c r="AE271" s="117"/>
      <c r="AF271" s="126">
        <f t="shared" si="10"/>
        <v>0</v>
      </c>
    </row>
    <row r="272" spans="1:32" hidden="1" x14ac:dyDescent="0.25">
      <c r="A272" s="59"/>
      <c r="B272" s="121"/>
      <c r="C272" s="122"/>
      <c r="D272" s="115"/>
      <c r="E272" s="122"/>
      <c r="F272" s="138"/>
      <c r="G272" s="122"/>
      <c r="H272" s="138"/>
      <c r="I272" s="122"/>
      <c r="J272" s="138"/>
      <c r="K272" s="122"/>
      <c r="L272" s="138"/>
      <c r="M272" s="122"/>
      <c r="N272" s="138"/>
      <c r="O272" s="122"/>
      <c r="P272" s="138"/>
      <c r="Q272" s="122"/>
      <c r="R272" s="138"/>
      <c r="S272" s="61"/>
      <c r="U272" s="116">
        <f t="shared" si="11"/>
        <v>0</v>
      </c>
      <c r="V272" s="117"/>
      <c r="W272" s="118"/>
      <c r="X272" s="116">
        <f t="shared" si="12"/>
        <v>0</v>
      </c>
      <c r="Y272" s="117"/>
      <c r="Z272" s="118"/>
      <c r="AA272" s="124"/>
      <c r="AB272" s="125"/>
      <c r="AC272" s="125"/>
      <c r="AD272" s="117"/>
      <c r="AE272" s="117"/>
      <c r="AF272" s="126">
        <f t="shared" si="10"/>
        <v>0</v>
      </c>
    </row>
    <row r="273" spans="1:32" hidden="1" x14ac:dyDescent="0.25">
      <c r="A273" s="59"/>
      <c r="B273" s="121"/>
      <c r="C273" s="122"/>
      <c r="D273" s="115"/>
      <c r="E273" s="122"/>
      <c r="F273" s="138"/>
      <c r="G273" s="122"/>
      <c r="H273" s="138"/>
      <c r="I273" s="122"/>
      <c r="J273" s="138"/>
      <c r="K273" s="122"/>
      <c r="L273" s="138"/>
      <c r="M273" s="122"/>
      <c r="N273" s="138"/>
      <c r="O273" s="122"/>
      <c r="P273" s="138"/>
      <c r="Q273" s="122"/>
      <c r="R273" s="138"/>
      <c r="S273" s="61"/>
      <c r="U273" s="116">
        <f t="shared" si="11"/>
        <v>0</v>
      </c>
      <c r="V273" s="117"/>
      <c r="W273" s="118"/>
      <c r="X273" s="116">
        <f t="shared" si="12"/>
        <v>0</v>
      </c>
      <c r="Y273" s="117"/>
      <c r="Z273" s="118"/>
      <c r="AA273" s="124"/>
      <c r="AB273" s="125"/>
      <c r="AC273" s="125"/>
      <c r="AD273" s="117"/>
      <c r="AE273" s="117"/>
      <c r="AF273" s="126">
        <f t="shared" si="10"/>
        <v>0</v>
      </c>
    </row>
    <row r="274" spans="1:32" hidden="1" x14ac:dyDescent="0.25">
      <c r="A274" s="59"/>
      <c r="B274" s="121"/>
      <c r="C274" s="122"/>
      <c r="D274" s="115"/>
      <c r="E274" s="122"/>
      <c r="F274" s="138"/>
      <c r="G274" s="122"/>
      <c r="H274" s="138"/>
      <c r="I274" s="122"/>
      <c r="J274" s="138"/>
      <c r="K274" s="122"/>
      <c r="L274" s="138"/>
      <c r="M274" s="122"/>
      <c r="N274" s="138"/>
      <c r="O274" s="122"/>
      <c r="P274" s="138"/>
      <c r="Q274" s="122"/>
      <c r="R274" s="138"/>
      <c r="S274" s="61"/>
      <c r="U274" s="116">
        <f t="shared" si="11"/>
        <v>0</v>
      </c>
      <c r="V274" s="117"/>
      <c r="W274" s="118"/>
      <c r="X274" s="116">
        <f t="shared" si="12"/>
        <v>0</v>
      </c>
      <c r="Y274" s="117"/>
      <c r="Z274" s="118"/>
      <c r="AA274" s="124"/>
      <c r="AB274" s="125"/>
      <c r="AC274" s="125"/>
      <c r="AD274" s="117"/>
      <c r="AE274" s="117"/>
      <c r="AF274" s="126">
        <f t="shared" si="10"/>
        <v>0</v>
      </c>
    </row>
    <row r="275" spans="1:32" hidden="1" x14ac:dyDescent="0.25">
      <c r="A275" s="59"/>
      <c r="B275" s="121"/>
      <c r="C275" s="122"/>
      <c r="D275" s="115"/>
      <c r="E275" s="122"/>
      <c r="F275" s="138"/>
      <c r="G275" s="122"/>
      <c r="H275" s="138"/>
      <c r="I275" s="122"/>
      <c r="J275" s="138"/>
      <c r="K275" s="122"/>
      <c r="L275" s="138"/>
      <c r="M275" s="122"/>
      <c r="N275" s="138"/>
      <c r="O275" s="122"/>
      <c r="P275" s="138"/>
      <c r="Q275" s="122"/>
      <c r="R275" s="138"/>
      <c r="S275" s="61"/>
      <c r="U275" s="116">
        <f t="shared" si="11"/>
        <v>0</v>
      </c>
      <c r="V275" s="117"/>
      <c r="W275" s="118"/>
      <c r="X275" s="116">
        <f t="shared" si="12"/>
        <v>0</v>
      </c>
      <c r="Y275" s="117"/>
      <c r="Z275" s="118"/>
      <c r="AA275" s="124"/>
      <c r="AB275" s="125"/>
      <c r="AC275" s="125"/>
      <c r="AD275" s="117"/>
      <c r="AE275" s="117"/>
      <c r="AF275" s="126">
        <f t="shared" si="10"/>
        <v>0</v>
      </c>
    </row>
    <row r="276" spans="1:32" hidden="1" x14ac:dyDescent="0.25">
      <c r="A276" s="59"/>
      <c r="B276" s="121"/>
      <c r="C276" s="122"/>
      <c r="D276" s="115"/>
      <c r="E276" s="122"/>
      <c r="F276" s="138"/>
      <c r="G276" s="122"/>
      <c r="H276" s="138"/>
      <c r="I276" s="122"/>
      <c r="J276" s="138"/>
      <c r="K276" s="122"/>
      <c r="L276" s="138"/>
      <c r="M276" s="122"/>
      <c r="N276" s="138"/>
      <c r="O276" s="122"/>
      <c r="P276" s="138"/>
      <c r="Q276" s="122"/>
      <c r="R276" s="138"/>
      <c r="S276" s="61"/>
      <c r="U276" s="116">
        <f t="shared" si="11"/>
        <v>0</v>
      </c>
      <c r="V276" s="117"/>
      <c r="W276" s="118"/>
      <c r="X276" s="116">
        <f t="shared" si="12"/>
        <v>0</v>
      </c>
      <c r="Y276" s="117"/>
      <c r="Z276" s="118"/>
      <c r="AA276" s="124"/>
      <c r="AB276" s="125"/>
      <c r="AC276" s="125"/>
      <c r="AD276" s="117"/>
      <c r="AE276" s="117"/>
      <c r="AF276" s="126">
        <f t="shared" si="10"/>
        <v>0</v>
      </c>
    </row>
    <row r="277" spans="1:32" ht="12.75" customHeight="1" collapsed="1" x14ac:dyDescent="0.25">
      <c r="A277" s="59"/>
      <c r="B277" s="664" t="s">
        <v>604</v>
      </c>
      <c r="C277" s="130"/>
      <c r="D277" s="130"/>
      <c r="E277" s="130"/>
      <c r="F277" s="130"/>
      <c r="G277" s="130"/>
      <c r="H277" s="130"/>
      <c r="I277" s="130"/>
      <c r="J277" s="130"/>
      <c r="K277" s="130"/>
      <c r="L277" s="130"/>
      <c r="M277" s="130"/>
      <c r="N277" s="130"/>
      <c r="O277" s="130"/>
      <c r="P277" s="130"/>
      <c r="Q277" s="130"/>
      <c r="R277" s="131"/>
      <c r="S277" s="94"/>
      <c r="U277" s="650"/>
      <c r="V277" s="136"/>
      <c r="W277" s="134"/>
      <c r="X277" s="650"/>
      <c r="Y277" s="133"/>
      <c r="Z277" s="134"/>
      <c r="AA277" s="135"/>
      <c r="AB277" s="136"/>
      <c r="AC277" s="136"/>
      <c r="AD277" s="136"/>
      <c r="AE277" s="136"/>
      <c r="AF277" s="651" t="str">
        <f t="shared" si="10"/>
        <v>External AI-Control</v>
      </c>
    </row>
    <row r="278" spans="1:32" ht="12.75" hidden="1" customHeight="1" outlineLevel="1" x14ac:dyDescent="0.25">
      <c r="A278" s="59"/>
      <c r="B278" s="141" t="s">
        <v>849</v>
      </c>
      <c r="C278" s="122">
        <v>0</v>
      </c>
      <c r="D278" s="113" t="s">
        <v>780</v>
      </c>
      <c r="E278" s="123">
        <v>0</v>
      </c>
      <c r="F278" s="115" t="s">
        <v>147</v>
      </c>
      <c r="G278" s="122">
        <v>0</v>
      </c>
      <c r="H278" s="113" t="s">
        <v>147</v>
      </c>
      <c r="I278" s="123">
        <v>0</v>
      </c>
      <c r="J278" s="115" t="s">
        <v>147</v>
      </c>
      <c r="K278" s="122">
        <v>0</v>
      </c>
      <c r="L278" s="113" t="s">
        <v>147</v>
      </c>
      <c r="M278" s="123">
        <v>0</v>
      </c>
      <c r="N278" s="115" t="s">
        <v>147</v>
      </c>
      <c r="O278" s="122">
        <v>0</v>
      </c>
      <c r="P278" s="113" t="s">
        <v>147</v>
      </c>
      <c r="Q278" s="123">
        <v>0</v>
      </c>
      <c r="R278" s="115" t="s">
        <v>147</v>
      </c>
      <c r="S278" s="61"/>
      <c r="U278" s="116">
        <f t="shared" si="11"/>
        <v>0</v>
      </c>
      <c r="V278" s="117">
        <v>0</v>
      </c>
      <c r="W278" s="118">
        <v>0</v>
      </c>
      <c r="X278" s="116">
        <f t="shared" si="12"/>
        <v>1</v>
      </c>
      <c r="Y278" s="117">
        <v>1</v>
      </c>
      <c r="Z278" s="118">
        <v>0</v>
      </c>
      <c r="AA278" s="124">
        <v>0</v>
      </c>
      <c r="AB278" s="125">
        <v>0</v>
      </c>
      <c r="AC278" s="125">
        <v>0</v>
      </c>
      <c r="AD278" s="117">
        <v>0</v>
      </c>
      <c r="AE278" s="117">
        <v>0</v>
      </c>
      <c r="AF278" s="126" t="str">
        <f t="shared" si="10"/>
        <v>FDAI9x - Ext. AI-Control</v>
      </c>
    </row>
    <row r="279" spans="1:32" ht="12.75" hidden="1" customHeight="1" x14ac:dyDescent="0.25">
      <c r="A279" s="59"/>
      <c r="B279" s="141"/>
      <c r="C279" s="122"/>
      <c r="D279" s="113"/>
      <c r="E279" s="123"/>
      <c r="F279" s="115"/>
      <c r="G279" s="122"/>
      <c r="H279" s="113"/>
      <c r="I279" s="123"/>
      <c r="J279" s="115"/>
      <c r="K279" s="122"/>
      <c r="L279" s="113"/>
      <c r="M279" s="123"/>
      <c r="N279" s="115"/>
      <c r="O279" s="122"/>
      <c r="P279" s="113"/>
      <c r="Q279" s="123"/>
      <c r="R279" s="115"/>
      <c r="S279" s="61"/>
      <c r="U279" s="116"/>
      <c r="V279" s="117"/>
      <c r="W279" s="118"/>
      <c r="X279" s="116"/>
      <c r="Y279" s="117"/>
      <c r="Z279" s="118"/>
      <c r="AA279" s="150"/>
      <c r="AB279" s="151"/>
      <c r="AC279" s="151"/>
      <c r="AD279" s="117"/>
      <c r="AE279" s="117"/>
      <c r="AF279" s="126">
        <f t="shared" si="10"/>
        <v>0</v>
      </c>
    </row>
    <row r="280" spans="1:32" ht="12.75" hidden="1" customHeight="1" x14ac:dyDescent="0.25">
      <c r="A280" s="59"/>
      <c r="B280" s="141"/>
      <c r="C280" s="122"/>
      <c r="D280" s="113"/>
      <c r="E280" s="123"/>
      <c r="F280" s="115"/>
      <c r="G280" s="122"/>
      <c r="H280" s="113"/>
      <c r="I280" s="123"/>
      <c r="J280" s="115"/>
      <c r="K280" s="122"/>
      <c r="L280" s="113"/>
      <c r="M280" s="123"/>
      <c r="N280" s="115"/>
      <c r="O280" s="122"/>
      <c r="P280" s="113"/>
      <c r="Q280" s="123"/>
      <c r="R280" s="115"/>
      <c r="S280" s="61"/>
      <c r="U280" s="116">
        <f t="shared" si="11"/>
        <v>0</v>
      </c>
      <c r="V280" s="117"/>
      <c r="W280" s="118"/>
      <c r="X280" s="116">
        <f t="shared" si="12"/>
        <v>0</v>
      </c>
      <c r="Y280" s="117"/>
      <c r="Z280" s="118"/>
      <c r="AA280" s="124"/>
      <c r="AB280" s="125"/>
      <c r="AC280" s="125"/>
      <c r="AD280" s="117"/>
      <c r="AE280" s="117"/>
      <c r="AF280" s="126">
        <f t="shared" ref="AF280:AF301" si="13">B280</f>
        <v>0</v>
      </c>
    </row>
    <row r="281" spans="1:32" ht="12.75" hidden="1" customHeight="1" x14ac:dyDescent="0.25">
      <c r="A281" s="59"/>
      <c r="B281" s="141"/>
      <c r="C281" s="122"/>
      <c r="D281" s="113"/>
      <c r="E281" s="123"/>
      <c r="F281" s="115"/>
      <c r="G281" s="122"/>
      <c r="H281" s="113"/>
      <c r="I281" s="123"/>
      <c r="J281" s="115"/>
      <c r="K281" s="122"/>
      <c r="L281" s="113"/>
      <c r="M281" s="123"/>
      <c r="N281" s="115"/>
      <c r="O281" s="122"/>
      <c r="P281" s="113"/>
      <c r="Q281" s="123"/>
      <c r="R281" s="115"/>
      <c r="S281" s="61"/>
      <c r="U281" s="116">
        <f t="shared" si="11"/>
        <v>0</v>
      </c>
      <c r="V281" s="117"/>
      <c r="W281" s="118"/>
      <c r="X281" s="116">
        <f t="shared" si="12"/>
        <v>0</v>
      </c>
      <c r="Y281" s="117"/>
      <c r="Z281" s="118"/>
      <c r="AA281" s="124"/>
      <c r="AB281" s="125"/>
      <c r="AC281" s="125"/>
      <c r="AD281" s="117"/>
      <c r="AE281" s="117"/>
      <c r="AF281" s="126">
        <f t="shared" si="13"/>
        <v>0</v>
      </c>
    </row>
    <row r="282" spans="1:32" ht="12.75" hidden="1" customHeight="1" x14ac:dyDescent="0.25">
      <c r="A282" s="59"/>
      <c r="B282" s="141"/>
      <c r="C282" s="122"/>
      <c r="D282" s="115"/>
      <c r="E282" s="122"/>
      <c r="F282" s="138"/>
      <c r="G282" s="122"/>
      <c r="H282" s="138"/>
      <c r="I282" s="122"/>
      <c r="J282" s="138"/>
      <c r="K282" s="122"/>
      <c r="L282" s="138"/>
      <c r="M282" s="122"/>
      <c r="N282" s="138"/>
      <c r="O282" s="122"/>
      <c r="P282" s="138"/>
      <c r="Q282" s="122"/>
      <c r="R282" s="138"/>
      <c r="S282" s="61"/>
      <c r="U282" s="116">
        <f t="shared" si="11"/>
        <v>0</v>
      </c>
      <c r="V282" s="117"/>
      <c r="X282" s="116">
        <f t="shared" si="12"/>
        <v>0</v>
      </c>
      <c r="Y282" s="117"/>
      <c r="AA282" s="124"/>
      <c r="AB282" s="125"/>
      <c r="AC282" s="125"/>
      <c r="AD282" s="117"/>
      <c r="AE282" s="117"/>
      <c r="AF282" s="126">
        <f t="shared" si="13"/>
        <v>0</v>
      </c>
    </row>
    <row r="283" spans="1:32" ht="12.75" hidden="1" customHeight="1" x14ac:dyDescent="0.25">
      <c r="A283" s="59"/>
      <c r="B283" s="141"/>
      <c r="C283" s="122"/>
      <c r="D283" s="115"/>
      <c r="E283" s="122"/>
      <c r="F283" s="138"/>
      <c r="G283" s="122"/>
      <c r="H283" s="138"/>
      <c r="I283" s="122"/>
      <c r="J283" s="138"/>
      <c r="K283" s="122"/>
      <c r="L283" s="138"/>
      <c r="M283" s="122"/>
      <c r="N283" s="138"/>
      <c r="O283" s="122"/>
      <c r="P283" s="138"/>
      <c r="Q283" s="122"/>
      <c r="R283" s="138"/>
      <c r="S283" s="61"/>
      <c r="U283" s="116">
        <f t="shared" si="11"/>
        <v>0</v>
      </c>
      <c r="V283" s="117"/>
      <c r="X283" s="116">
        <f t="shared" si="12"/>
        <v>0</v>
      </c>
      <c r="Y283" s="117"/>
      <c r="AA283" s="124"/>
      <c r="AB283" s="125"/>
      <c r="AC283" s="125"/>
      <c r="AD283" s="117"/>
      <c r="AE283" s="117"/>
      <c r="AF283" s="126">
        <f t="shared" si="13"/>
        <v>0</v>
      </c>
    </row>
    <row r="284" spans="1:32" ht="12.75" hidden="1" customHeight="1" x14ac:dyDescent="0.25">
      <c r="A284" s="59"/>
      <c r="B284" s="141"/>
      <c r="C284" s="122"/>
      <c r="D284" s="115"/>
      <c r="E284" s="122"/>
      <c r="F284" s="138"/>
      <c r="G284" s="122"/>
      <c r="H284" s="138"/>
      <c r="I284" s="122"/>
      <c r="J284" s="138"/>
      <c r="K284" s="122"/>
      <c r="L284" s="138"/>
      <c r="M284" s="122"/>
      <c r="N284" s="138"/>
      <c r="O284" s="122"/>
      <c r="P284" s="138"/>
      <c r="Q284" s="122"/>
      <c r="R284" s="138"/>
      <c r="S284" s="61"/>
      <c r="U284" s="116">
        <f t="shared" si="11"/>
        <v>0</v>
      </c>
      <c r="V284" s="117"/>
      <c r="X284" s="116">
        <f t="shared" si="12"/>
        <v>0</v>
      </c>
      <c r="Y284" s="117"/>
      <c r="AA284" s="124"/>
      <c r="AB284" s="125"/>
      <c r="AC284" s="125"/>
      <c r="AD284" s="117"/>
      <c r="AE284" s="117"/>
      <c r="AF284" s="126">
        <f t="shared" si="13"/>
        <v>0</v>
      </c>
    </row>
    <row r="285" spans="1:32" ht="12.75" hidden="1" customHeight="1" x14ac:dyDescent="0.25">
      <c r="A285" s="59"/>
      <c r="B285" s="141"/>
      <c r="C285" s="122"/>
      <c r="D285" s="115"/>
      <c r="E285" s="122"/>
      <c r="F285" s="138"/>
      <c r="G285" s="122"/>
      <c r="H285" s="138"/>
      <c r="I285" s="122"/>
      <c r="J285" s="138"/>
      <c r="K285" s="122"/>
      <c r="L285" s="138"/>
      <c r="M285" s="122"/>
      <c r="N285" s="138"/>
      <c r="O285" s="122"/>
      <c r="P285" s="138"/>
      <c r="Q285" s="122"/>
      <c r="R285" s="138"/>
      <c r="S285" s="61"/>
      <c r="U285" s="116">
        <f t="shared" si="11"/>
        <v>0</v>
      </c>
      <c r="V285" s="117"/>
      <c r="X285" s="116">
        <f t="shared" si="12"/>
        <v>0</v>
      </c>
      <c r="Y285" s="117"/>
      <c r="AA285" s="124"/>
      <c r="AB285" s="125"/>
      <c r="AC285" s="125"/>
      <c r="AD285" s="117"/>
      <c r="AE285" s="117"/>
      <c r="AF285" s="126">
        <f t="shared" si="13"/>
        <v>0</v>
      </c>
    </row>
    <row r="286" spans="1:32" ht="12.75" hidden="1" customHeight="1" x14ac:dyDescent="0.25">
      <c r="A286" s="59"/>
      <c r="B286" s="141"/>
      <c r="C286" s="122"/>
      <c r="D286" s="115"/>
      <c r="E286" s="122"/>
      <c r="F286" s="138"/>
      <c r="G286" s="122"/>
      <c r="H286" s="138"/>
      <c r="I286" s="122"/>
      <c r="J286" s="138"/>
      <c r="K286" s="122"/>
      <c r="L286" s="138"/>
      <c r="M286" s="122"/>
      <c r="N286" s="138"/>
      <c r="O286" s="122"/>
      <c r="P286" s="138"/>
      <c r="Q286" s="122"/>
      <c r="R286" s="138"/>
      <c r="S286" s="61"/>
      <c r="U286" s="116">
        <f t="shared" si="11"/>
        <v>0</v>
      </c>
      <c r="V286" s="117"/>
      <c r="X286" s="116">
        <f t="shared" si="12"/>
        <v>0</v>
      </c>
      <c r="Y286" s="117"/>
      <c r="AA286" s="124"/>
      <c r="AB286" s="125"/>
      <c r="AC286" s="125"/>
      <c r="AD286" s="117"/>
      <c r="AE286" s="117"/>
      <c r="AF286" s="126">
        <f t="shared" si="13"/>
        <v>0</v>
      </c>
    </row>
    <row r="287" spans="1:32" ht="12.75" hidden="1" customHeight="1" x14ac:dyDescent="0.25">
      <c r="A287" s="59"/>
      <c r="B287" s="141"/>
      <c r="C287" s="122"/>
      <c r="D287" s="115"/>
      <c r="E287" s="122"/>
      <c r="F287" s="138"/>
      <c r="G287" s="122"/>
      <c r="H287" s="138"/>
      <c r="I287" s="122"/>
      <c r="J287" s="138"/>
      <c r="K287" s="122"/>
      <c r="L287" s="138"/>
      <c r="M287" s="122"/>
      <c r="N287" s="138"/>
      <c r="O287" s="122"/>
      <c r="P287" s="138"/>
      <c r="Q287" s="122"/>
      <c r="R287" s="138"/>
      <c r="S287" s="61"/>
      <c r="U287" s="116">
        <f t="shared" si="11"/>
        <v>0</v>
      </c>
      <c r="V287" s="117"/>
      <c r="X287" s="116">
        <f t="shared" si="12"/>
        <v>0</v>
      </c>
      <c r="Y287" s="117"/>
      <c r="AA287" s="124"/>
      <c r="AB287" s="125"/>
      <c r="AC287" s="125"/>
      <c r="AD287" s="117"/>
      <c r="AE287" s="117"/>
      <c r="AF287" s="126">
        <f t="shared" si="13"/>
        <v>0</v>
      </c>
    </row>
    <row r="288" spans="1:32" ht="12.75" hidden="1" customHeight="1" x14ac:dyDescent="0.25">
      <c r="A288" s="59"/>
      <c r="B288" s="141"/>
      <c r="C288" s="122"/>
      <c r="D288" s="115"/>
      <c r="E288" s="122"/>
      <c r="F288" s="138"/>
      <c r="G288" s="122"/>
      <c r="H288" s="138"/>
      <c r="I288" s="122"/>
      <c r="J288" s="138"/>
      <c r="K288" s="122"/>
      <c r="L288" s="138"/>
      <c r="M288" s="122"/>
      <c r="N288" s="138"/>
      <c r="O288" s="122"/>
      <c r="P288" s="138"/>
      <c r="Q288" s="122"/>
      <c r="R288" s="138"/>
      <c r="S288" s="61"/>
      <c r="U288" s="116">
        <f t="shared" si="11"/>
        <v>0</v>
      </c>
      <c r="V288" s="117"/>
      <c r="X288" s="116">
        <f t="shared" si="12"/>
        <v>0</v>
      </c>
      <c r="Y288" s="117"/>
      <c r="AA288" s="124"/>
      <c r="AB288" s="125"/>
      <c r="AC288" s="125"/>
      <c r="AD288" s="117"/>
      <c r="AE288" s="117"/>
      <c r="AF288" s="126">
        <f t="shared" si="13"/>
        <v>0</v>
      </c>
    </row>
    <row r="289" spans="1:32" ht="12.75" hidden="1" customHeight="1" x14ac:dyDescent="0.25">
      <c r="A289" s="59"/>
      <c r="B289" s="141"/>
      <c r="C289" s="122"/>
      <c r="D289" s="115"/>
      <c r="E289" s="122"/>
      <c r="F289" s="138"/>
      <c r="G289" s="122"/>
      <c r="H289" s="138"/>
      <c r="I289" s="122"/>
      <c r="J289" s="138"/>
      <c r="K289" s="122"/>
      <c r="L289" s="138"/>
      <c r="M289" s="122"/>
      <c r="N289" s="138"/>
      <c r="O289" s="122"/>
      <c r="P289" s="138"/>
      <c r="Q289" s="122"/>
      <c r="R289" s="138"/>
      <c r="S289" s="61"/>
      <c r="U289" s="116">
        <f t="shared" si="11"/>
        <v>0</v>
      </c>
      <c r="V289" s="117"/>
      <c r="X289" s="116">
        <f t="shared" si="12"/>
        <v>0</v>
      </c>
      <c r="Y289" s="117"/>
      <c r="AA289" s="124"/>
      <c r="AB289" s="125"/>
      <c r="AC289" s="125"/>
      <c r="AD289" s="117"/>
      <c r="AE289" s="117"/>
      <c r="AF289" s="126">
        <f t="shared" si="13"/>
        <v>0</v>
      </c>
    </row>
    <row r="290" spans="1:32" ht="12.75" hidden="1" customHeight="1" x14ac:dyDescent="0.25">
      <c r="A290" s="59"/>
      <c r="B290" s="141"/>
      <c r="C290" s="122"/>
      <c r="D290" s="115"/>
      <c r="E290" s="122"/>
      <c r="F290" s="138"/>
      <c r="G290" s="122"/>
      <c r="H290" s="138"/>
      <c r="I290" s="122"/>
      <c r="J290" s="138"/>
      <c r="K290" s="122"/>
      <c r="L290" s="138"/>
      <c r="M290" s="122"/>
      <c r="N290" s="138"/>
      <c r="O290" s="122"/>
      <c r="P290" s="138"/>
      <c r="Q290" s="122"/>
      <c r="R290" s="138"/>
      <c r="S290" s="61"/>
      <c r="U290" s="116">
        <f t="shared" si="11"/>
        <v>0</v>
      </c>
      <c r="V290" s="117"/>
      <c r="X290" s="116">
        <f t="shared" si="12"/>
        <v>0</v>
      </c>
      <c r="Y290" s="117"/>
      <c r="AA290" s="124"/>
      <c r="AB290" s="125"/>
      <c r="AC290" s="125"/>
      <c r="AD290" s="117"/>
      <c r="AE290" s="117"/>
      <c r="AF290" s="126">
        <f t="shared" si="13"/>
        <v>0</v>
      </c>
    </row>
    <row r="291" spans="1:32" ht="12.75" hidden="1" customHeight="1" x14ac:dyDescent="0.25">
      <c r="A291" s="59"/>
      <c r="B291" s="141"/>
      <c r="C291" s="122"/>
      <c r="D291" s="115"/>
      <c r="E291" s="122"/>
      <c r="F291" s="138"/>
      <c r="G291" s="122"/>
      <c r="H291" s="138"/>
      <c r="I291" s="122"/>
      <c r="J291" s="138"/>
      <c r="K291" s="122"/>
      <c r="L291" s="138"/>
      <c r="M291" s="122"/>
      <c r="N291" s="138"/>
      <c r="O291" s="122"/>
      <c r="P291" s="138"/>
      <c r="Q291" s="122"/>
      <c r="R291" s="138"/>
      <c r="S291" s="61"/>
      <c r="U291" s="116">
        <f t="shared" si="11"/>
        <v>0</v>
      </c>
      <c r="V291" s="117"/>
      <c r="X291" s="116">
        <f t="shared" si="12"/>
        <v>0</v>
      </c>
      <c r="Y291" s="117"/>
      <c r="AA291" s="124"/>
      <c r="AB291" s="125"/>
      <c r="AC291" s="125"/>
      <c r="AD291" s="117"/>
      <c r="AE291" s="117"/>
      <c r="AF291" s="126">
        <f t="shared" si="13"/>
        <v>0</v>
      </c>
    </row>
    <row r="292" spans="1:32" ht="12.75" customHeight="1" collapsed="1" x14ac:dyDescent="0.25">
      <c r="A292" s="59"/>
      <c r="B292" s="664" t="s">
        <v>265</v>
      </c>
      <c r="C292" s="130"/>
      <c r="D292" s="130"/>
      <c r="E292" s="130"/>
      <c r="F292" s="130"/>
      <c r="G292" s="130"/>
      <c r="H292" s="130"/>
      <c r="I292" s="130"/>
      <c r="J292" s="130"/>
      <c r="K292" s="130"/>
      <c r="L292" s="130"/>
      <c r="M292" s="130"/>
      <c r="N292" s="130"/>
      <c r="O292" s="130"/>
      <c r="P292" s="130"/>
      <c r="Q292" s="130"/>
      <c r="R292" s="131"/>
      <c r="S292" s="94"/>
      <c r="U292" s="116"/>
      <c r="V292" s="136"/>
      <c r="W292" s="134"/>
      <c r="X292" s="133"/>
      <c r="Y292" s="133"/>
      <c r="Z292" s="134"/>
      <c r="AA292" s="135"/>
      <c r="AB292" s="136"/>
      <c r="AC292" s="136"/>
      <c r="AD292" s="136"/>
      <c r="AE292" s="136"/>
      <c r="AF292" s="126" t="str">
        <f t="shared" si="13"/>
        <v>Operation and indication devices</v>
      </c>
    </row>
    <row r="293" spans="1:32" ht="12.75" hidden="1" customHeight="1" outlineLevel="1" x14ac:dyDescent="0.25">
      <c r="A293" s="59"/>
      <c r="B293" s="121" t="s">
        <v>796</v>
      </c>
      <c r="C293" s="122">
        <v>0</v>
      </c>
      <c r="D293" s="113" t="s">
        <v>147</v>
      </c>
      <c r="E293" s="123">
        <v>0</v>
      </c>
      <c r="F293" s="115" t="s">
        <v>147</v>
      </c>
      <c r="G293" s="122">
        <v>0</v>
      </c>
      <c r="H293" s="113" t="s">
        <v>147</v>
      </c>
      <c r="I293" s="123">
        <v>0</v>
      </c>
      <c r="J293" s="115" t="s">
        <v>147</v>
      </c>
      <c r="K293" s="122">
        <v>0</v>
      </c>
      <c r="L293" s="113" t="s">
        <v>147</v>
      </c>
      <c r="M293" s="123">
        <v>0</v>
      </c>
      <c r="N293" s="115" t="s">
        <v>147</v>
      </c>
      <c r="O293" s="122">
        <v>0</v>
      </c>
      <c r="P293" s="113" t="s">
        <v>147</v>
      </c>
      <c r="Q293" s="123">
        <v>0</v>
      </c>
      <c r="R293" s="115" t="s">
        <v>147</v>
      </c>
      <c r="S293" s="61"/>
      <c r="U293" s="116">
        <f t="shared" si="11"/>
        <v>20</v>
      </c>
      <c r="V293" s="117">
        <v>20</v>
      </c>
      <c r="W293" s="118">
        <v>0</v>
      </c>
      <c r="X293" s="116">
        <f t="shared" si="12"/>
        <v>160</v>
      </c>
      <c r="Y293" s="117">
        <v>160</v>
      </c>
      <c r="Z293" s="118">
        <v>0</v>
      </c>
      <c r="AA293" s="124">
        <v>1</v>
      </c>
      <c r="AB293" s="125">
        <v>1</v>
      </c>
      <c r="AC293" s="125">
        <v>0</v>
      </c>
      <c r="AD293" s="117">
        <v>0</v>
      </c>
      <c r="AE293" s="117">
        <v>0</v>
      </c>
      <c r="AF293" s="126" t="str">
        <f t="shared" si="13"/>
        <v>FT2010 (supply over C-NET) - FRT</v>
      </c>
    </row>
    <row r="294" spans="1:32" ht="13.5" hidden="1" customHeight="1" outlineLevel="1" x14ac:dyDescent="0.25">
      <c r="A294" s="59"/>
      <c r="B294" s="121" t="s">
        <v>797</v>
      </c>
      <c r="C294" s="122">
        <v>0</v>
      </c>
      <c r="D294" s="113" t="s">
        <v>147</v>
      </c>
      <c r="E294" s="123">
        <v>0</v>
      </c>
      <c r="F294" s="115" t="s">
        <v>147</v>
      </c>
      <c r="G294" s="122">
        <v>0</v>
      </c>
      <c r="H294" s="113" t="s">
        <v>147</v>
      </c>
      <c r="I294" s="123">
        <v>0</v>
      </c>
      <c r="J294" s="115" t="s">
        <v>147</v>
      </c>
      <c r="K294" s="122">
        <v>0</v>
      </c>
      <c r="L294" s="113" t="s">
        <v>147</v>
      </c>
      <c r="M294" s="123">
        <v>0</v>
      </c>
      <c r="N294" s="115" t="s">
        <v>147</v>
      </c>
      <c r="O294" s="122">
        <v>0</v>
      </c>
      <c r="P294" s="113" t="s">
        <v>147</v>
      </c>
      <c r="Q294" s="123">
        <v>0</v>
      </c>
      <c r="R294" s="115" t="s">
        <v>147</v>
      </c>
      <c r="S294" s="61"/>
      <c r="U294" s="116">
        <f t="shared" si="11"/>
        <v>20</v>
      </c>
      <c r="V294" s="117">
        <v>20</v>
      </c>
      <c r="W294" s="118">
        <v>0</v>
      </c>
      <c r="X294" s="116">
        <f t="shared" si="12"/>
        <v>20</v>
      </c>
      <c r="Y294" s="117">
        <v>20</v>
      </c>
      <c r="Z294" s="118">
        <v>0</v>
      </c>
      <c r="AA294" s="124">
        <v>1</v>
      </c>
      <c r="AB294" s="125">
        <v>1</v>
      </c>
      <c r="AC294" s="125">
        <v>0</v>
      </c>
      <c r="AD294" s="117">
        <v>0</v>
      </c>
      <c r="AE294" s="117">
        <v>0</v>
      </c>
      <c r="AF294" s="126" t="str">
        <f t="shared" si="13"/>
        <v>FT2010 (with external supply) - FRT</v>
      </c>
    </row>
    <row r="295" spans="1:32" ht="13.5" hidden="1" customHeight="1" outlineLevel="1" x14ac:dyDescent="0.25">
      <c r="A295" s="59"/>
      <c r="B295" s="121" t="s">
        <v>798</v>
      </c>
      <c r="C295" s="122">
        <v>0</v>
      </c>
      <c r="D295" s="113" t="s">
        <v>780</v>
      </c>
      <c r="E295" s="123">
        <v>0</v>
      </c>
      <c r="F295" s="115" t="s">
        <v>147</v>
      </c>
      <c r="G295" s="122">
        <v>0</v>
      </c>
      <c r="H295" s="113" t="s">
        <v>147</v>
      </c>
      <c r="I295" s="123">
        <v>0</v>
      </c>
      <c r="J295" s="115" t="s">
        <v>147</v>
      </c>
      <c r="K295" s="122">
        <v>0</v>
      </c>
      <c r="L295" s="113" t="s">
        <v>147</v>
      </c>
      <c r="M295" s="123">
        <v>0</v>
      </c>
      <c r="N295" s="115" t="s">
        <v>147</v>
      </c>
      <c r="O295" s="122">
        <v>0</v>
      </c>
      <c r="P295" s="113" t="s">
        <v>147</v>
      </c>
      <c r="Q295" s="123">
        <v>0</v>
      </c>
      <c r="R295" s="115" t="s">
        <v>147</v>
      </c>
      <c r="S295" s="61"/>
      <c r="U295" s="116">
        <f t="shared" si="11"/>
        <v>20</v>
      </c>
      <c r="V295" s="117">
        <v>20</v>
      </c>
      <c r="W295" s="118">
        <v>0</v>
      </c>
      <c r="X295" s="116">
        <f t="shared" si="12"/>
        <v>160</v>
      </c>
      <c r="Y295" s="117">
        <v>160</v>
      </c>
      <c r="Z295" s="118">
        <v>0</v>
      </c>
      <c r="AA295" s="124">
        <v>1</v>
      </c>
      <c r="AB295" s="125">
        <v>1</v>
      </c>
      <c r="AC295" s="125">
        <v>0</v>
      </c>
      <c r="AD295" s="117">
        <v>0</v>
      </c>
      <c r="AE295" s="117">
        <v>0</v>
      </c>
      <c r="AF295" s="126" t="str">
        <f t="shared" si="13"/>
        <v>FT2011 (supply over C-NET) - FRD</v>
      </c>
    </row>
    <row r="296" spans="1:32" hidden="1" outlineLevel="1" x14ac:dyDescent="0.25">
      <c r="A296" s="59"/>
      <c r="B296" s="121" t="s">
        <v>799</v>
      </c>
      <c r="C296" s="122">
        <v>0</v>
      </c>
      <c r="D296" s="113" t="s">
        <v>780</v>
      </c>
      <c r="E296" s="123">
        <v>0</v>
      </c>
      <c r="F296" s="115" t="s">
        <v>147</v>
      </c>
      <c r="G296" s="122">
        <v>0</v>
      </c>
      <c r="H296" s="113" t="s">
        <v>147</v>
      </c>
      <c r="I296" s="123">
        <v>0</v>
      </c>
      <c r="J296" s="115" t="s">
        <v>147</v>
      </c>
      <c r="K296" s="122">
        <v>0</v>
      </c>
      <c r="L296" s="113" t="s">
        <v>147</v>
      </c>
      <c r="M296" s="123">
        <v>0</v>
      </c>
      <c r="N296" s="115" t="s">
        <v>147</v>
      </c>
      <c r="O296" s="122">
        <v>0</v>
      </c>
      <c r="P296" s="113" t="s">
        <v>147</v>
      </c>
      <c r="Q296" s="123">
        <v>0</v>
      </c>
      <c r="R296" s="115" t="s">
        <v>147</v>
      </c>
      <c r="S296" s="61"/>
      <c r="U296" s="116">
        <f t="shared" si="11"/>
        <v>20</v>
      </c>
      <c r="V296" s="117">
        <v>20</v>
      </c>
      <c r="W296" s="118">
        <v>0</v>
      </c>
      <c r="X296" s="116">
        <f t="shared" si="12"/>
        <v>20</v>
      </c>
      <c r="Y296" s="117">
        <v>20</v>
      </c>
      <c r="Z296" s="118">
        <v>0</v>
      </c>
      <c r="AA296" s="124">
        <v>1</v>
      </c>
      <c r="AB296" s="125">
        <v>1</v>
      </c>
      <c r="AC296" s="125">
        <v>0</v>
      </c>
      <c r="AD296" s="117">
        <v>0</v>
      </c>
      <c r="AE296" s="117">
        <v>0</v>
      </c>
      <c r="AF296" s="126" t="str">
        <f t="shared" si="13"/>
        <v>FT2011 (with external supply) - FRD</v>
      </c>
    </row>
    <row r="297" spans="1:32" hidden="1" outlineLevel="1" x14ac:dyDescent="0.25">
      <c r="A297" s="59"/>
      <c r="B297" s="121" t="s">
        <v>800</v>
      </c>
      <c r="C297" s="122">
        <v>0</v>
      </c>
      <c r="D297" s="113" t="s">
        <v>147</v>
      </c>
      <c r="E297" s="123">
        <v>0</v>
      </c>
      <c r="F297" s="115" t="s">
        <v>147</v>
      </c>
      <c r="G297" s="122">
        <v>0</v>
      </c>
      <c r="H297" s="113" t="s">
        <v>147</v>
      </c>
      <c r="I297" s="123">
        <v>0</v>
      </c>
      <c r="J297" s="115" t="s">
        <v>147</v>
      </c>
      <c r="K297" s="122">
        <v>0</v>
      </c>
      <c r="L297" s="113" t="s">
        <v>147</v>
      </c>
      <c r="M297" s="123">
        <v>0</v>
      </c>
      <c r="N297" s="115" t="s">
        <v>147</v>
      </c>
      <c r="O297" s="122">
        <v>0</v>
      </c>
      <c r="P297" s="113" t="s">
        <v>147</v>
      </c>
      <c r="Q297" s="123">
        <v>0</v>
      </c>
      <c r="R297" s="115" t="s">
        <v>147</v>
      </c>
      <c r="S297" s="61"/>
      <c r="U297" s="116">
        <f t="shared" si="11"/>
        <v>1</v>
      </c>
      <c r="V297" s="117">
        <v>1</v>
      </c>
      <c r="W297" s="118">
        <v>0</v>
      </c>
      <c r="X297" s="116">
        <f t="shared" si="12"/>
        <v>1</v>
      </c>
      <c r="Y297" s="117">
        <v>1</v>
      </c>
      <c r="Z297" s="118">
        <v>0</v>
      </c>
      <c r="AA297" s="124">
        <v>1</v>
      </c>
      <c r="AB297" s="125">
        <v>1</v>
      </c>
      <c r="AC297" s="125">
        <v>0</v>
      </c>
      <c r="AD297" s="117">
        <v>0</v>
      </c>
      <c r="AE297" s="117">
        <v>0</v>
      </c>
      <c r="AF297" s="126" t="str">
        <f t="shared" si="13"/>
        <v>FDCAI221 - Addressable alarm indicator</v>
      </c>
    </row>
    <row r="298" spans="1:32" hidden="1" x14ac:dyDescent="0.25">
      <c r="A298" s="59"/>
      <c r="B298" s="121"/>
      <c r="C298" s="122"/>
      <c r="D298" s="113"/>
      <c r="E298" s="123"/>
      <c r="F298" s="115"/>
      <c r="G298" s="122"/>
      <c r="H298" s="113"/>
      <c r="I298" s="123"/>
      <c r="J298" s="115"/>
      <c r="K298" s="122"/>
      <c r="L298" s="113"/>
      <c r="M298" s="123"/>
      <c r="N298" s="115"/>
      <c r="O298" s="122"/>
      <c r="P298" s="113"/>
      <c r="Q298" s="123"/>
      <c r="R298" s="115"/>
      <c r="S298" s="61"/>
      <c r="U298" s="116"/>
      <c r="V298" s="117"/>
      <c r="W298" s="118"/>
      <c r="X298" s="116"/>
      <c r="Y298" s="117"/>
      <c r="Z298" s="118"/>
      <c r="AA298" s="124"/>
      <c r="AB298" s="125"/>
      <c r="AC298" s="125"/>
      <c r="AD298" s="117"/>
      <c r="AE298" s="117"/>
      <c r="AF298" s="126"/>
    </row>
    <row r="299" spans="1:32" hidden="1" x14ac:dyDescent="0.25">
      <c r="A299" s="59"/>
      <c r="B299" s="121"/>
      <c r="C299" s="122"/>
      <c r="D299" s="113"/>
      <c r="E299" s="123"/>
      <c r="F299" s="115"/>
      <c r="G299" s="122"/>
      <c r="H299" s="113"/>
      <c r="I299" s="123"/>
      <c r="J299" s="115"/>
      <c r="K299" s="122"/>
      <c r="L299" s="113"/>
      <c r="M299" s="123"/>
      <c r="N299" s="115"/>
      <c r="O299" s="122"/>
      <c r="P299" s="113"/>
      <c r="Q299" s="123"/>
      <c r="R299" s="115"/>
      <c r="S299" s="61"/>
      <c r="U299" s="116"/>
      <c r="V299" s="117"/>
      <c r="W299" s="118"/>
      <c r="X299" s="116"/>
      <c r="Y299" s="117"/>
      <c r="Z299" s="118"/>
      <c r="AA299" s="124"/>
      <c r="AB299" s="125"/>
      <c r="AC299" s="125"/>
      <c r="AD299" s="117"/>
      <c r="AE299" s="117"/>
      <c r="AF299" s="126"/>
    </row>
    <row r="300" spans="1:32" hidden="1" x14ac:dyDescent="0.25">
      <c r="A300" s="59"/>
      <c r="B300" s="121"/>
      <c r="C300" s="122"/>
      <c r="D300" s="113"/>
      <c r="E300" s="123"/>
      <c r="F300" s="115"/>
      <c r="G300" s="122"/>
      <c r="H300" s="113"/>
      <c r="I300" s="123"/>
      <c r="J300" s="115"/>
      <c r="K300" s="122"/>
      <c r="L300" s="113"/>
      <c r="M300" s="123"/>
      <c r="N300" s="115"/>
      <c r="O300" s="122"/>
      <c r="P300" s="113"/>
      <c r="Q300" s="123"/>
      <c r="R300" s="115"/>
      <c r="S300" s="61"/>
      <c r="U300" s="116"/>
      <c r="V300" s="117"/>
      <c r="W300" s="118"/>
      <c r="X300" s="116"/>
      <c r="Y300" s="117"/>
      <c r="Z300" s="118"/>
      <c r="AA300" s="124"/>
      <c r="AB300" s="125"/>
      <c r="AC300" s="151"/>
      <c r="AD300" s="117"/>
      <c r="AE300" s="117"/>
      <c r="AF300" s="126"/>
    </row>
    <row r="301" spans="1:32" hidden="1" x14ac:dyDescent="0.25">
      <c r="A301" s="59"/>
      <c r="B301" s="111"/>
      <c r="C301" s="152"/>
      <c r="D301" s="113"/>
      <c r="E301" s="123"/>
      <c r="F301" s="349"/>
      <c r="G301" s="152"/>
      <c r="H301" s="113"/>
      <c r="I301" s="123"/>
      <c r="J301" s="349"/>
      <c r="K301" s="152"/>
      <c r="L301" s="113"/>
      <c r="M301" s="123"/>
      <c r="N301" s="349"/>
      <c r="O301" s="152"/>
      <c r="P301" s="113"/>
      <c r="Q301" s="123"/>
      <c r="R301" s="349"/>
      <c r="S301" s="61"/>
      <c r="U301" s="116"/>
      <c r="V301" s="117"/>
      <c r="W301" s="118"/>
      <c r="X301" s="116"/>
      <c r="Y301" s="117"/>
      <c r="Z301" s="118"/>
      <c r="AA301" s="124"/>
      <c r="AB301" s="125"/>
      <c r="AC301" s="151"/>
      <c r="AD301" s="117"/>
      <c r="AE301" s="117"/>
      <c r="AF301" s="126"/>
    </row>
    <row r="302" spans="1:32" ht="12.75" hidden="1" customHeight="1" x14ac:dyDescent="0.25">
      <c r="A302" s="59"/>
      <c r="B302" s="111"/>
      <c r="C302" s="152"/>
      <c r="D302" s="113"/>
      <c r="E302" s="123"/>
      <c r="F302" s="154"/>
      <c r="G302" s="152"/>
      <c r="H302" s="155"/>
      <c r="I302" s="123"/>
      <c r="J302" s="154"/>
      <c r="K302" s="152"/>
      <c r="L302" s="155"/>
      <c r="M302" s="123"/>
      <c r="N302" s="154"/>
      <c r="O302" s="152"/>
      <c r="P302" s="155"/>
      <c r="Q302" s="123"/>
      <c r="R302" s="154"/>
      <c r="S302" s="61"/>
      <c r="U302" s="143"/>
      <c r="V302" s="117"/>
      <c r="W302" s="118"/>
      <c r="X302" s="143"/>
      <c r="Y302" s="117"/>
      <c r="Z302" s="118"/>
      <c r="AA302" s="124"/>
      <c r="AB302" s="125"/>
      <c r="AC302" s="151"/>
      <c r="AD302" s="117"/>
      <c r="AE302" s="117"/>
      <c r="AF302" s="126">
        <f t="shared" ref="AF302:AF311" si="14">B302</f>
        <v>0</v>
      </c>
    </row>
    <row r="303" spans="1:32" ht="12.75" hidden="1" customHeight="1" x14ac:dyDescent="0.25">
      <c r="A303" s="59"/>
      <c r="B303" s="111"/>
      <c r="C303" s="152"/>
      <c r="D303" s="156"/>
      <c r="E303" s="153"/>
      <c r="F303" s="154"/>
      <c r="G303" s="152"/>
      <c r="H303" s="157"/>
      <c r="I303" s="153"/>
      <c r="J303" s="154"/>
      <c r="K303" s="152"/>
      <c r="L303" s="157"/>
      <c r="M303" s="153"/>
      <c r="N303" s="154"/>
      <c r="O303" s="152"/>
      <c r="P303" s="155"/>
      <c r="Q303" s="123"/>
      <c r="R303" s="154"/>
      <c r="S303" s="61"/>
      <c r="U303" s="143"/>
      <c r="V303" s="117"/>
      <c r="W303" s="118"/>
      <c r="X303" s="143"/>
      <c r="Y303" s="117"/>
      <c r="Z303" s="118"/>
      <c r="AA303" s="124"/>
      <c r="AB303" s="125"/>
      <c r="AC303" s="151"/>
      <c r="AD303" s="117"/>
      <c r="AE303" s="117"/>
      <c r="AF303" s="126">
        <f t="shared" si="14"/>
        <v>0</v>
      </c>
    </row>
    <row r="304" spans="1:32" ht="12.75" hidden="1" customHeight="1" x14ac:dyDescent="0.25">
      <c r="A304" s="59"/>
      <c r="B304" s="111"/>
      <c r="C304" s="152"/>
      <c r="D304" s="156"/>
      <c r="E304" s="153"/>
      <c r="F304" s="154"/>
      <c r="G304" s="152"/>
      <c r="H304" s="157"/>
      <c r="I304" s="153"/>
      <c r="J304" s="154"/>
      <c r="K304" s="152"/>
      <c r="L304" s="157"/>
      <c r="M304" s="153"/>
      <c r="N304" s="154"/>
      <c r="O304" s="152"/>
      <c r="P304" s="157"/>
      <c r="Q304" s="153"/>
      <c r="R304" s="154"/>
      <c r="S304" s="61"/>
      <c r="U304" s="143"/>
      <c r="V304" s="117"/>
      <c r="W304" s="118"/>
      <c r="X304" s="143"/>
      <c r="Y304" s="117"/>
      <c r="Z304" s="118"/>
      <c r="AA304" s="124"/>
      <c r="AB304" s="125"/>
      <c r="AC304" s="151"/>
      <c r="AD304" s="117"/>
      <c r="AE304" s="117"/>
      <c r="AF304" s="126">
        <f t="shared" si="14"/>
        <v>0</v>
      </c>
    </row>
    <row r="305" spans="1:32" ht="12.75" hidden="1" customHeight="1" x14ac:dyDescent="0.25">
      <c r="A305" s="59"/>
      <c r="B305" s="111"/>
      <c r="C305" s="152"/>
      <c r="D305" s="156"/>
      <c r="E305" s="153"/>
      <c r="F305" s="154"/>
      <c r="G305" s="152"/>
      <c r="H305" s="157"/>
      <c r="I305" s="153"/>
      <c r="J305" s="154"/>
      <c r="K305" s="152"/>
      <c r="L305" s="157"/>
      <c r="M305" s="153"/>
      <c r="N305" s="154"/>
      <c r="O305" s="152"/>
      <c r="P305" s="157"/>
      <c r="Q305" s="153"/>
      <c r="R305" s="154"/>
      <c r="S305" s="61"/>
      <c r="U305" s="143"/>
      <c r="V305" s="117"/>
      <c r="W305" s="118"/>
      <c r="X305" s="143"/>
      <c r="Y305" s="117"/>
      <c r="Z305" s="118"/>
      <c r="AA305" s="124"/>
      <c r="AB305" s="125"/>
      <c r="AC305" s="151"/>
      <c r="AD305" s="117"/>
      <c r="AE305" s="117"/>
      <c r="AF305" s="126">
        <f t="shared" si="14"/>
        <v>0</v>
      </c>
    </row>
    <row r="306" spans="1:32" ht="12.75" hidden="1" customHeight="1" x14ac:dyDescent="0.25">
      <c r="A306" s="59"/>
      <c r="B306" s="111"/>
      <c r="C306" s="152"/>
      <c r="D306" s="156"/>
      <c r="E306" s="153"/>
      <c r="F306" s="154"/>
      <c r="G306" s="152"/>
      <c r="H306" s="157"/>
      <c r="I306" s="153"/>
      <c r="J306" s="154"/>
      <c r="K306" s="152"/>
      <c r="L306" s="157"/>
      <c r="M306" s="153"/>
      <c r="N306" s="154"/>
      <c r="O306" s="152"/>
      <c r="P306" s="157"/>
      <c r="Q306" s="153"/>
      <c r="R306" s="154"/>
      <c r="S306" s="61"/>
      <c r="U306" s="143"/>
      <c r="V306" s="117"/>
      <c r="W306" s="118"/>
      <c r="X306" s="143"/>
      <c r="Y306" s="117"/>
      <c r="Z306" s="118"/>
      <c r="AA306" s="124"/>
      <c r="AB306" s="125"/>
      <c r="AC306" s="151"/>
      <c r="AD306" s="117"/>
      <c r="AE306" s="117"/>
      <c r="AF306" s="126">
        <f t="shared" si="14"/>
        <v>0</v>
      </c>
    </row>
    <row r="307" spans="1:32" ht="12.75" hidden="1" customHeight="1" x14ac:dyDescent="0.25">
      <c r="A307" s="59"/>
      <c r="B307" s="111"/>
      <c r="C307" s="152"/>
      <c r="D307" s="156"/>
      <c r="E307" s="153"/>
      <c r="F307" s="154"/>
      <c r="G307" s="152"/>
      <c r="H307" s="157"/>
      <c r="I307" s="153"/>
      <c r="J307" s="154"/>
      <c r="K307" s="152"/>
      <c r="L307" s="157"/>
      <c r="M307" s="153"/>
      <c r="N307" s="154"/>
      <c r="O307" s="152"/>
      <c r="P307" s="157"/>
      <c r="Q307" s="153"/>
      <c r="R307" s="154"/>
      <c r="S307" s="61"/>
      <c r="U307" s="143"/>
      <c r="V307" s="117"/>
      <c r="W307" s="118"/>
      <c r="X307" s="143"/>
      <c r="Y307" s="117"/>
      <c r="Z307" s="118"/>
      <c r="AA307" s="124"/>
      <c r="AB307" s="125"/>
      <c r="AC307" s="151"/>
      <c r="AD307" s="117"/>
      <c r="AE307" s="117"/>
      <c r="AF307" s="126">
        <f t="shared" si="14"/>
        <v>0</v>
      </c>
    </row>
    <row r="308" spans="1:32" ht="12.75" hidden="1" customHeight="1" x14ac:dyDescent="0.25">
      <c r="A308" s="59"/>
      <c r="B308" s="111"/>
      <c r="C308" s="152"/>
      <c r="D308" s="156"/>
      <c r="E308" s="153"/>
      <c r="F308" s="154"/>
      <c r="G308" s="152"/>
      <c r="H308" s="157"/>
      <c r="I308" s="153"/>
      <c r="J308" s="154"/>
      <c r="K308" s="152"/>
      <c r="L308" s="157"/>
      <c r="M308" s="153"/>
      <c r="N308" s="154"/>
      <c r="O308" s="152"/>
      <c r="P308" s="157"/>
      <c r="Q308" s="153"/>
      <c r="R308" s="154"/>
      <c r="S308" s="61"/>
      <c r="U308" s="143"/>
      <c r="V308" s="117"/>
      <c r="W308" s="118"/>
      <c r="X308" s="143"/>
      <c r="Y308" s="117"/>
      <c r="Z308" s="118"/>
      <c r="AA308" s="124"/>
      <c r="AB308" s="125"/>
      <c r="AC308" s="151"/>
      <c r="AD308" s="117"/>
      <c r="AE308" s="117"/>
      <c r="AF308" s="126">
        <f t="shared" si="14"/>
        <v>0</v>
      </c>
    </row>
    <row r="309" spans="1:32" ht="12.75" hidden="1" customHeight="1" x14ac:dyDescent="0.25">
      <c r="A309" s="59"/>
      <c r="B309" s="111"/>
      <c r="C309" s="152"/>
      <c r="D309" s="156"/>
      <c r="E309" s="153"/>
      <c r="F309" s="154"/>
      <c r="G309" s="152"/>
      <c r="H309" s="157"/>
      <c r="I309" s="153"/>
      <c r="J309" s="154"/>
      <c r="K309" s="152"/>
      <c r="L309" s="157"/>
      <c r="M309" s="153"/>
      <c r="N309" s="154"/>
      <c r="O309" s="152"/>
      <c r="P309" s="157"/>
      <c r="Q309" s="153"/>
      <c r="R309" s="154"/>
      <c r="S309" s="61"/>
      <c r="U309" s="143"/>
      <c r="V309" s="117"/>
      <c r="W309" s="118"/>
      <c r="X309" s="143"/>
      <c r="Y309" s="117"/>
      <c r="Z309" s="118"/>
      <c r="AA309" s="124"/>
      <c r="AB309" s="125"/>
      <c r="AC309" s="151"/>
      <c r="AD309" s="117"/>
      <c r="AE309" s="117"/>
      <c r="AF309" s="126">
        <f t="shared" si="14"/>
        <v>0</v>
      </c>
    </row>
    <row r="310" spans="1:32" ht="12.75" hidden="1" customHeight="1" x14ac:dyDescent="0.25">
      <c r="A310" s="59"/>
      <c r="B310" s="111"/>
      <c r="C310" s="152"/>
      <c r="D310" s="156"/>
      <c r="E310" s="153"/>
      <c r="F310" s="154"/>
      <c r="G310" s="152"/>
      <c r="H310" s="157"/>
      <c r="I310" s="153"/>
      <c r="J310" s="154"/>
      <c r="K310" s="152"/>
      <c r="L310" s="157"/>
      <c r="M310" s="153"/>
      <c r="N310" s="154"/>
      <c r="O310" s="152"/>
      <c r="P310" s="157"/>
      <c r="Q310" s="153"/>
      <c r="R310" s="154"/>
      <c r="S310" s="61"/>
      <c r="U310" s="143"/>
      <c r="V310" s="117"/>
      <c r="W310" s="118"/>
      <c r="X310" s="143"/>
      <c r="Y310" s="117"/>
      <c r="Z310" s="118"/>
      <c r="AA310" s="124"/>
      <c r="AB310" s="125"/>
      <c r="AC310" s="151"/>
      <c r="AD310" s="117"/>
      <c r="AE310" s="117"/>
      <c r="AF310" s="126">
        <f t="shared" si="14"/>
        <v>0</v>
      </c>
    </row>
    <row r="311" spans="1:32" ht="13" hidden="1" thickBot="1" x14ac:dyDescent="0.3">
      <c r="A311" s="59"/>
      <c r="B311" s="111"/>
      <c r="C311" s="152"/>
      <c r="D311" s="156"/>
      <c r="E311" s="153"/>
      <c r="F311" s="154"/>
      <c r="G311" s="152"/>
      <c r="H311" s="157"/>
      <c r="I311" s="153"/>
      <c r="J311" s="154"/>
      <c r="K311" s="152"/>
      <c r="L311" s="157"/>
      <c r="M311" s="153"/>
      <c r="N311" s="154"/>
      <c r="O311" s="152"/>
      <c r="P311" s="157"/>
      <c r="Q311" s="153"/>
      <c r="R311" s="154"/>
      <c r="S311" s="61"/>
      <c r="U311" s="158"/>
      <c r="V311" s="159"/>
      <c r="W311" s="160"/>
      <c r="X311" s="158"/>
      <c r="Y311" s="161"/>
      <c r="Z311" s="118"/>
      <c r="AA311" s="162"/>
      <c r="AB311" s="161"/>
      <c r="AC311" s="163"/>
      <c r="AD311" s="161"/>
      <c r="AE311" s="163"/>
      <c r="AF311" s="164">
        <f t="shared" si="14"/>
        <v>0</v>
      </c>
    </row>
    <row r="312" spans="1:32" ht="13" hidden="1" x14ac:dyDescent="0.25">
      <c r="A312" s="165"/>
      <c r="B312" s="166"/>
      <c r="C312" s="167"/>
      <c r="D312" s="168"/>
      <c r="E312" s="169"/>
      <c r="F312" s="168"/>
      <c r="G312" s="169"/>
      <c r="H312" s="168"/>
      <c r="I312" s="169"/>
      <c r="J312" s="168"/>
      <c r="K312" s="169"/>
      <c r="L312" s="168"/>
      <c r="M312" s="169"/>
      <c r="N312" s="168"/>
      <c r="O312" s="169"/>
      <c r="P312" s="168"/>
      <c r="Q312" s="169"/>
      <c r="R312" s="168"/>
      <c r="S312" s="170"/>
      <c r="U312" s="171"/>
      <c r="X312" s="171"/>
      <c r="AA312" s="171"/>
      <c r="AB312" s="171"/>
    </row>
    <row r="313" spans="1:32" ht="13" hidden="1" x14ac:dyDescent="0.25">
      <c r="A313" s="165"/>
      <c r="B313" s="166"/>
      <c r="C313" s="167"/>
      <c r="D313" s="168"/>
      <c r="E313" s="169"/>
      <c r="F313" s="168"/>
      <c r="G313" s="169"/>
      <c r="H313" s="168"/>
      <c r="I313" s="169"/>
      <c r="J313" s="168"/>
      <c r="K313" s="169"/>
      <c r="L313" s="168"/>
      <c r="M313" s="169"/>
      <c r="N313" s="168"/>
      <c r="O313" s="169"/>
      <c r="P313" s="168"/>
      <c r="Q313" s="169"/>
      <c r="R313" s="168"/>
      <c r="S313" s="170"/>
      <c r="U313" s="171"/>
      <c r="X313" s="171"/>
      <c r="AA313" s="171"/>
      <c r="AB313" s="171"/>
    </row>
    <row r="314" spans="1:32" ht="13" hidden="1" x14ac:dyDescent="0.25">
      <c r="A314" s="165"/>
      <c r="B314" s="166"/>
      <c r="C314" s="167"/>
      <c r="D314" s="168"/>
      <c r="E314" s="169"/>
      <c r="F314" s="168"/>
      <c r="G314" s="169"/>
      <c r="H314" s="168"/>
      <c r="I314" s="169"/>
      <c r="J314" s="168"/>
      <c r="K314" s="169"/>
      <c r="L314" s="168"/>
      <c r="M314" s="169"/>
      <c r="N314" s="168"/>
      <c r="O314" s="169"/>
      <c r="P314" s="168"/>
      <c r="Q314" s="169"/>
      <c r="R314" s="168"/>
      <c r="S314" s="170"/>
      <c r="U314" s="171"/>
      <c r="X314" s="171"/>
      <c r="AA314" s="171"/>
      <c r="AB314" s="171"/>
    </row>
    <row r="315" spans="1:32" ht="13" hidden="1" x14ac:dyDescent="0.25">
      <c r="A315" s="165"/>
      <c r="B315" s="166" t="s">
        <v>605</v>
      </c>
      <c r="C315" s="167"/>
      <c r="D315" s="168"/>
      <c r="E315" s="169"/>
      <c r="F315" s="168"/>
      <c r="G315" s="169"/>
      <c r="H315" s="168"/>
      <c r="I315" s="169"/>
      <c r="J315" s="168"/>
      <c r="K315" s="169"/>
      <c r="L315" s="168"/>
      <c r="M315" s="169"/>
      <c r="N315" s="168"/>
      <c r="O315" s="169"/>
      <c r="P315" s="168"/>
      <c r="Q315" s="169"/>
      <c r="R315" s="168"/>
      <c r="S315" s="170"/>
      <c r="U315" s="171"/>
      <c r="X315" s="171"/>
      <c r="AA315" s="171"/>
      <c r="AB315" s="171"/>
    </row>
    <row r="316" spans="1:32" ht="13" hidden="1" x14ac:dyDescent="0.25">
      <c r="A316" s="165"/>
      <c r="B316" s="172" t="s">
        <v>606</v>
      </c>
      <c r="C316" s="167"/>
      <c r="D316" s="168"/>
      <c r="E316" s="169"/>
      <c r="F316" s="168"/>
      <c r="G316" s="169"/>
      <c r="H316" s="168"/>
      <c r="I316" s="169"/>
      <c r="J316" s="168"/>
      <c r="K316" s="169"/>
      <c r="L316" s="168"/>
      <c r="M316" s="169"/>
      <c r="N316" s="168"/>
      <c r="O316" s="169"/>
      <c r="P316" s="168"/>
      <c r="Q316" s="169"/>
      <c r="R316" s="168"/>
      <c r="S316" s="170"/>
      <c r="U316" s="171"/>
      <c r="X316" s="171"/>
      <c r="AA316" s="171"/>
      <c r="AB316" s="171"/>
    </row>
    <row r="317" spans="1:32" ht="13" hidden="1" x14ac:dyDescent="0.25">
      <c r="A317" s="165"/>
      <c r="B317" s="172" t="s">
        <v>607</v>
      </c>
      <c r="C317" s="167"/>
      <c r="D317" s="168"/>
      <c r="E317" s="169"/>
      <c r="F317" s="168"/>
      <c r="G317" s="169"/>
      <c r="H317" s="168"/>
      <c r="I317" s="169"/>
      <c r="J317" s="168"/>
      <c r="K317" s="169"/>
      <c r="L317" s="168"/>
      <c r="M317" s="169"/>
      <c r="N317" s="168"/>
      <c r="O317" s="169"/>
      <c r="P317" s="168"/>
      <c r="Q317" s="169"/>
      <c r="R317" s="168"/>
      <c r="S317" s="170"/>
      <c r="U317" s="171"/>
      <c r="X317" s="171"/>
      <c r="AA317" s="171"/>
      <c r="AB317" s="171"/>
    </row>
    <row r="318" spans="1:32" ht="13" hidden="1" x14ac:dyDescent="0.25">
      <c r="A318" s="165"/>
      <c r="B318" s="172"/>
      <c r="C318" s="167"/>
      <c r="D318" s="168"/>
      <c r="E318" s="169"/>
      <c r="F318" s="168"/>
      <c r="G318" s="169"/>
      <c r="H318" s="168"/>
      <c r="I318" s="169"/>
      <c r="J318" s="168"/>
      <c r="K318" s="169"/>
      <c r="L318" s="168"/>
      <c r="M318" s="169"/>
      <c r="N318" s="168"/>
      <c r="O318" s="169"/>
      <c r="P318" s="168"/>
      <c r="Q318" s="169"/>
      <c r="R318" s="168"/>
      <c r="S318" s="170"/>
      <c r="U318" s="171"/>
      <c r="X318" s="171"/>
      <c r="AA318" s="171"/>
      <c r="AB318" s="171"/>
    </row>
    <row r="319" spans="1:32" ht="13" hidden="1" x14ac:dyDescent="0.25">
      <c r="A319" s="165"/>
      <c r="B319" s="172"/>
      <c r="C319" s="167"/>
      <c r="D319" s="168"/>
      <c r="E319" s="169"/>
      <c r="F319" s="168"/>
      <c r="G319" s="169"/>
      <c r="H319" s="168"/>
      <c r="I319" s="169"/>
      <c r="J319" s="168"/>
      <c r="K319" s="169"/>
      <c r="L319" s="168"/>
      <c r="M319" s="169"/>
      <c r="N319" s="168"/>
      <c r="O319" s="169"/>
      <c r="P319" s="168"/>
      <c r="Q319" s="169"/>
      <c r="R319" s="168"/>
      <c r="S319" s="170"/>
      <c r="U319" s="171"/>
      <c r="X319" s="171"/>
      <c r="AA319" s="171"/>
      <c r="AB319" s="171"/>
    </row>
    <row r="320" spans="1:32" ht="13" hidden="1" x14ac:dyDescent="0.25">
      <c r="A320" s="165"/>
      <c r="B320" s="172"/>
      <c r="C320" s="167"/>
      <c r="D320" s="168"/>
      <c r="E320" s="169"/>
      <c r="F320" s="168"/>
      <c r="G320" s="169"/>
      <c r="H320" s="168"/>
      <c r="I320" s="169"/>
      <c r="J320" s="168"/>
      <c r="K320" s="169"/>
      <c r="L320" s="168"/>
      <c r="M320" s="169"/>
      <c r="N320" s="168"/>
      <c r="O320" s="169"/>
      <c r="P320" s="168"/>
      <c r="Q320" s="169"/>
      <c r="R320" s="168"/>
      <c r="S320" s="170"/>
      <c r="U320" s="171"/>
      <c r="X320" s="171"/>
      <c r="AA320" s="171"/>
      <c r="AB320" s="171"/>
    </row>
    <row r="321" spans="1:32" ht="13" hidden="1" x14ac:dyDescent="0.25">
      <c r="A321" s="165"/>
      <c r="B321" s="172"/>
      <c r="C321" s="167"/>
      <c r="D321" s="168"/>
      <c r="E321" s="169"/>
      <c r="F321" s="168"/>
      <c r="G321" s="169"/>
      <c r="H321" s="168"/>
      <c r="I321" s="169"/>
      <c r="J321" s="168"/>
      <c r="K321" s="169"/>
      <c r="L321" s="168"/>
      <c r="M321" s="169"/>
      <c r="N321" s="168"/>
      <c r="O321" s="169"/>
      <c r="P321" s="168"/>
      <c r="Q321" s="169"/>
      <c r="R321" s="168"/>
      <c r="S321" s="170"/>
      <c r="U321" s="171"/>
      <c r="X321" s="171"/>
      <c r="AA321" s="171"/>
      <c r="AB321" s="171"/>
    </row>
    <row r="322" spans="1:32" ht="13" hidden="1" x14ac:dyDescent="0.25">
      <c r="A322" s="165"/>
      <c r="B322" s="172"/>
      <c r="C322" s="167"/>
      <c r="D322" s="168"/>
      <c r="E322" s="169"/>
      <c r="F322" s="168"/>
      <c r="G322" s="169"/>
      <c r="H322" s="168"/>
      <c r="I322" s="169"/>
      <c r="J322" s="168"/>
      <c r="K322" s="169"/>
      <c r="L322" s="168"/>
      <c r="M322" s="169"/>
      <c r="N322" s="168"/>
      <c r="O322" s="169"/>
      <c r="P322" s="168"/>
      <c r="Q322" s="169"/>
      <c r="R322" s="168"/>
      <c r="S322" s="170"/>
      <c r="U322" s="171"/>
      <c r="X322" s="171"/>
      <c r="AA322" s="171"/>
      <c r="AB322" s="171"/>
    </row>
    <row r="323" spans="1:32" ht="13" hidden="1" x14ac:dyDescent="0.25">
      <c r="A323" s="165"/>
      <c r="B323" s="172"/>
      <c r="C323" s="167"/>
      <c r="D323" s="168"/>
      <c r="E323" s="169"/>
      <c r="F323" s="168"/>
      <c r="G323" s="169"/>
      <c r="H323" s="168"/>
      <c r="I323" s="169"/>
      <c r="J323" s="168"/>
      <c r="K323" s="169"/>
      <c r="L323" s="168"/>
      <c r="M323" s="169"/>
      <c r="N323" s="168"/>
      <c r="O323" s="169"/>
      <c r="P323" s="168"/>
      <c r="Q323" s="169"/>
      <c r="R323" s="168"/>
      <c r="S323" s="170"/>
      <c r="U323" s="171"/>
      <c r="X323" s="171"/>
      <c r="AA323" s="171"/>
      <c r="AB323" s="171"/>
    </row>
    <row r="324" spans="1:32" ht="13" hidden="1" x14ac:dyDescent="0.25">
      <c r="A324" s="165"/>
      <c r="B324" s="172"/>
      <c r="C324" s="167"/>
      <c r="D324" s="168"/>
      <c r="E324" s="169"/>
      <c r="F324" s="168"/>
      <c r="G324" s="169"/>
      <c r="H324" s="168"/>
      <c r="I324" s="169"/>
      <c r="J324" s="168"/>
      <c r="K324" s="169"/>
      <c r="L324" s="168"/>
      <c r="M324" s="169"/>
      <c r="N324" s="168"/>
      <c r="O324" s="169"/>
      <c r="P324" s="168"/>
      <c r="Q324" s="169"/>
      <c r="R324" s="168"/>
      <c r="S324" s="170"/>
      <c r="U324" s="171"/>
      <c r="X324" s="171"/>
      <c r="AA324" s="171"/>
      <c r="AB324" s="171"/>
    </row>
    <row r="325" spans="1:32" ht="13" hidden="1" x14ac:dyDescent="0.25">
      <c r="A325" s="165"/>
      <c r="B325" s="172"/>
      <c r="C325" s="167"/>
      <c r="D325" s="168"/>
      <c r="E325" s="169"/>
      <c r="F325" s="168"/>
      <c r="G325" s="169"/>
      <c r="H325" s="168"/>
      <c r="I325" s="169"/>
      <c r="J325" s="168"/>
      <c r="K325" s="169"/>
      <c r="L325" s="168"/>
      <c r="M325" s="169"/>
      <c r="N325" s="168"/>
      <c r="O325" s="169"/>
      <c r="P325" s="168"/>
      <c r="Q325" s="169"/>
      <c r="R325" s="168"/>
      <c r="S325" s="170"/>
      <c r="U325" s="171"/>
      <c r="X325" s="171"/>
      <c r="AA325" s="171"/>
      <c r="AB325" s="171"/>
    </row>
    <row r="326" spans="1:32" ht="13" hidden="1" x14ac:dyDescent="0.25">
      <c r="A326" s="165"/>
      <c r="B326" s="172"/>
      <c r="C326" s="167"/>
      <c r="D326" s="168"/>
      <c r="E326" s="169"/>
      <c r="F326" s="168"/>
      <c r="G326" s="169"/>
      <c r="H326" s="168"/>
      <c r="I326" s="169"/>
      <c r="J326" s="168"/>
      <c r="K326" s="169"/>
      <c r="L326" s="168"/>
      <c r="M326" s="169"/>
      <c r="N326" s="168"/>
      <c r="O326" s="169"/>
      <c r="P326" s="168"/>
      <c r="Q326" s="169"/>
      <c r="R326" s="168"/>
      <c r="S326" s="170"/>
      <c r="U326" s="171"/>
      <c r="X326" s="171"/>
      <c r="AA326" s="171"/>
      <c r="AB326" s="171"/>
    </row>
    <row r="327" spans="1:32" ht="13" hidden="1" x14ac:dyDescent="0.25">
      <c r="A327" s="165"/>
      <c r="B327" s="172"/>
      <c r="C327" s="167"/>
      <c r="D327" s="168"/>
      <c r="E327" s="169"/>
      <c r="F327" s="168"/>
      <c r="G327" s="169"/>
      <c r="H327" s="168"/>
      <c r="I327" s="169"/>
      <c r="J327" s="168"/>
      <c r="K327" s="169"/>
      <c r="L327" s="168"/>
      <c r="M327" s="169"/>
      <c r="N327" s="168"/>
      <c r="O327" s="169"/>
      <c r="P327" s="168"/>
      <c r="Q327" s="169"/>
      <c r="R327" s="168"/>
      <c r="S327" s="170"/>
      <c r="U327" s="171"/>
      <c r="X327" s="171"/>
      <c r="AA327" s="171"/>
      <c r="AB327" s="171"/>
    </row>
    <row r="328" spans="1:32" ht="13" hidden="1" x14ac:dyDescent="0.25">
      <c r="A328" s="165"/>
      <c r="B328" s="166"/>
      <c r="C328" s="167"/>
      <c r="D328" s="168"/>
      <c r="E328" s="169"/>
      <c r="F328" s="168"/>
      <c r="G328" s="169"/>
      <c r="H328" s="168"/>
      <c r="I328" s="169"/>
      <c r="J328" s="168"/>
      <c r="K328" s="169"/>
      <c r="L328" s="168"/>
      <c r="M328" s="169"/>
      <c r="N328" s="168"/>
      <c r="O328" s="169"/>
      <c r="P328" s="168"/>
      <c r="Q328" s="169"/>
      <c r="R328" s="168"/>
      <c r="S328" s="170"/>
    </row>
    <row r="329" spans="1:32" ht="13" hidden="1" x14ac:dyDescent="0.25">
      <c r="A329" s="165"/>
      <c r="B329" s="166"/>
      <c r="C329" s="167"/>
      <c r="D329" s="168"/>
      <c r="E329" s="169"/>
      <c r="F329" s="168"/>
      <c r="G329" s="169"/>
      <c r="H329" s="168"/>
      <c r="I329" s="169"/>
      <c r="J329" s="168"/>
      <c r="K329" s="169"/>
      <c r="L329" s="168"/>
      <c r="M329" s="169"/>
      <c r="N329" s="168"/>
      <c r="O329" s="169"/>
      <c r="P329" s="168"/>
      <c r="Q329" s="169"/>
      <c r="R329" s="168"/>
      <c r="S329" s="170"/>
    </row>
    <row r="330" spans="1:32" ht="13" hidden="1" x14ac:dyDescent="0.25">
      <c r="A330" s="165"/>
      <c r="B330" s="166"/>
      <c r="C330" s="169"/>
      <c r="D330" s="168"/>
      <c r="E330" s="169"/>
      <c r="F330" s="168"/>
      <c r="G330" s="169"/>
      <c r="H330" s="168"/>
      <c r="I330" s="169"/>
      <c r="J330" s="168"/>
      <c r="K330" s="169"/>
      <c r="L330" s="168"/>
      <c r="M330" s="169"/>
      <c r="N330" s="168"/>
      <c r="O330" s="169"/>
      <c r="P330" s="168"/>
      <c r="Q330" s="169"/>
      <c r="R330" s="168"/>
      <c r="S330" s="170"/>
    </row>
    <row r="331" spans="1:32" ht="13" hidden="1" x14ac:dyDescent="0.25">
      <c r="A331" s="165"/>
      <c r="B331" s="166"/>
      <c r="C331" s="169"/>
      <c r="D331" s="168"/>
      <c r="E331" s="169"/>
      <c r="F331" s="168"/>
      <c r="G331" s="169"/>
      <c r="H331" s="168"/>
      <c r="I331" s="169"/>
      <c r="J331" s="168"/>
      <c r="K331" s="169"/>
      <c r="L331" s="168"/>
      <c r="M331" s="169"/>
      <c r="N331" s="168"/>
      <c r="O331" s="169"/>
      <c r="P331" s="168"/>
      <c r="Q331" s="169"/>
      <c r="R331" s="168"/>
      <c r="S331" s="170"/>
    </row>
    <row r="332" spans="1:32" hidden="1" collapsed="1" x14ac:dyDescent="0.25">
      <c r="A332" s="59"/>
      <c r="B332" s="725" t="s">
        <v>608</v>
      </c>
      <c r="C332" s="726"/>
      <c r="D332" s="727"/>
      <c r="E332" s="727"/>
      <c r="F332" s="727"/>
      <c r="G332" s="727"/>
      <c r="H332" s="727"/>
      <c r="I332" s="727"/>
      <c r="J332" s="727"/>
      <c r="K332" s="727"/>
      <c r="L332" s="727"/>
      <c r="M332" s="727"/>
      <c r="N332" s="727"/>
      <c r="O332" s="130"/>
      <c r="P332" s="130"/>
      <c r="Q332" s="130"/>
      <c r="R332" s="131"/>
      <c r="S332" s="94"/>
      <c r="U332" s="145"/>
      <c r="V332" s="136"/>
      <c r="W332" s="134"/>
      <c r="X332" s="145"/>
      <c r="Y332" s="136"/>
      <c r="Z332" s="134"/>
      <c r="AA332" s="135"/>
      <c r="AB332" s="136"/>
      <c r="AC332" s="136"/>
      <c r="AD332" s="136"/>
      <c r="AE332" s="136"/>
      <c r="AF332" s="173" t="str">
        <f t="shared" ref="AF332:AF341" si="15">B332</f>
        <v>Intrinsically safe stub lines 1 (Ex)  -  Line capacitance max. 82nF, line inductance max. 2.3mH, line resistance max. 50 Ohm</v>
      </c>
    </row>
    <row r="333" spans="1:32" ht="27.75" hidden="1" customHeight="1" outlineLevel="1" x14ac:dyDescent="0.25">
      <c r="A333" s="59"/>
      <c r="B333" s="121" t="s">
        <v>609</v>
      </c>
      <c r="C333" s="174"/>
      <c r="D333" s="113"/>
      <c r="E333" s="175"/>
      <c r="F333" s="138"/>
      <c r="G333" s="174"/>
      <c r="H333" s="155"/>
      <c r="I333" s="175"/>
      <c r="J333" s="138"/>
      <c r="K333" s="174"/>
      <c r="L333" s="155"/>
      <c r="M333" s="175"/>
      <c r="N333" s="138"/>
      <c r="O333" s="174"/>
      <c r="P333" s="155"/>
      <c r="Q333" s="175"/>
      <c r="R333" s="138"/>
      <c r="S333" s="94"/>
      <c r="U333" s="145"/>
      <c r="V333" s="136"/>
      <c r="W333" s="134"/>
      <c r="X333" s="145"/>
      <c r="Y333" s="136"/>
      <c r="Z333" s="134"/>
      <c r="AA333" s="135"/>
      <c r="AB333" s="136"/>
      <c r="AC333" s="136"/>
      <c r="AD333" s="136"/>
      <c r="AE333" s="136"/>
      <c r="AF333" s="173" t="str">
        <f t="shared" si="15"/>
        <v>FDCL221-Ex - Line adaptor Ex</v>
      </c>
    </row>
    <row r="334" spans="1:32" hidden="1" outlineLevel="1" x14ac:dyDescent="0.25">
      <c r="A334" s="59"/>
      <c r="B334" s="121" t="s">
        <v>610</v>
      </c>
      <c r="C334" s="344">
        <v>0</v>
      </c>
      <c r="D334" s="113" t="s">
        <v>256</v>
      </c>
      <c r="E334" s="176">
        <v>0</v>
      </c>
      <c r="F334" s="138" t="s">
        <v>256</v>
      </c>
      <c r="G334" s="344">
        <v>0</v>
      </c>
      <c r="H334" s="155" t="s">
        <v>256</v>
      </c>
      <c r="I334" s="176">
        <v>0</v>
      </c>
      <c r="J334" s="138" t="s">
        <v>256</v>
      </c>
      <c r="K334" s="344">
        <v>0</v>
      </c>
      <c r="L334" s="155" t="s">
        <v>256</v>
      </c>
      <c r="M334" s="176">
        <v>0</v>
      </c>
      <c r="N334" s="138" t="s">
        <v>256</v>
      </c>
      <c r="O334" s="344">
        <v>0</v>
      </c>
      <c r="P334" s="155" t="s">
        <v>256</v>
      </c>
      <c r="Q334" s="176">
        <v>0</v>
      </c>
      <c r="R334" s="138" t="s">
        <v>256</v>
      </c>
      <c r="S334" s="94"/>
      <c r="U334" s="143">
        <f>V334+W334</f>
        <v>1.25</v>
      </c>
      <c r="V334" s="117">
        <v>1.25</v>
      </c>
      <c r="W334" s="118">
        <v>0</v>
      </c>
      <c r="X334" s="143">
        <f>Y334+Z334</f>
        <v>1.25</v>
      </c>
      <c r="Y334" s="117">
        <v>1.25</v>
      </c>
      <c r="Z334" s="118">
        <v>0</v>
      </c>
      <c r="AA334" s="124">
        <v>0</v>
      </c>
      <c r="AB334" s="125">
        <v>1</v>
      </c>
      <c r="AC334" s="125">
        <v>1</v>
      </c>
      <c r="AD334" s="117">
        <v>0</v>
      </c>
      <c r="AE334" s="117">
        <v>0</v>
      </c>
      <c r="AF334" s="126" t="str">
        <f t="shared" si="15"/>
        <v>OOH740-A9-Ex - Neural fire detector Ex</v>
      </c>
    </row>
    <row r="335" spans="1:32" hidden="1" outlineLevel="1" x14ac:dyDescent="0.25">
      <c r="A335" s="59"/>
      <c r="B335" s="121" t="s">
        <v>611</v>
      </c>
      <c r="C335" s="344">
        <v>0</v>
      </c>
      <c r="D335" s="113" t="s">
        <v>256</v>
      </c>
      <c r="E335" s="176">
        <v>0</v>
      </c>
      <c r="F335" s="138" t="s">
        <v>256</v>
      </c>
      <c r="G335" s="344">
        <v>0</v>
      </c>
      <c r="H335" s="155" t="s">
        <v>256</v>
      </c>
      <c r="I335" s="176">
        <v>0</v>
      </c>
      <c r="J335" s="138" t="s">
        <v>256</v>
      </c>
      <c r="K335" s="344">
        <v>0</v>
      </c>
      <c r="L335" s="155" t="s">
        <v>256</v>
      </c>
      <c r="M335" s="176">
        <v>0</v>
      </c>
      <c r="N335" s="138" t="s">
        <v>256</v>
      </c>
      <c r="O335" s="344">
        <v>0</v>
      </c>
      <c r="P335" s="155" t="s">
        <v>256</v>
      </c>
      <c r="Q335" s="176">
        <v>0</v>
      </c>
      <c r="R335" s="138" t="s">
        <v>256</v>
      </c>
      <c r="S335" s="94"/>
      <c r="U335" s="143">
        <f>V335+W335</f>
        <v>1.25</v>
      </c>
      <c r="V335" s="125">
        <v>1.25</v>
      </c>
      <c r="W335" s="118">
        <v>0</v>
      </c>
      <c r="X335" s="143">
        <f>Y335+Z335</f>
        <v>1.25</v>
      </c>
      <c r="Y335" s="125">
        <v>1.25</v>
      </c>
      <c r="Z335" s="118">
        <v>0</v>
      </c>
      <c r="AA335" s="124">
        <v>0</v>
      </c>
      <c r="AB335" s="125">
        <v>1</v>
      </c>
      <c r="AC335" s="125">
        <v>1</v>
      </c>
      <c r="AD335" s="125">
        <v>0</v>
      </c>
      <c r="AE335" s="125">
        <v>0</v>
      </c>
      <c r="AF335" s="126" t="str">
        <f t="shared" si="15"/>
        <v>FDM223-Ex - Manual call point Ex</v>
      </c>
    </row>
    <row r="336" spans="1:32" ht="12.75" hidden="1" customHeight="1" x14ac:dyDescent="0.25">
      <c r="A336" s="59"/>
      <c r="B336" s="111"/>
      <c r="C336" s="347"/>
      <c r="D336" s="113"/>
      <c r="E336" s="175"/>
      <c r="F336" s="154"/>
      <c r="G336" s="177"/>
      <c r="H336" s="155"/>
      <c r="I336" s="175"/>
      <c r="J336" s="154"/>
      <c r="K336" s="177"/>
      <c r="L336" s="155"/>
      <c r="M336" s="175"/>
      <c r="N336" s="154"/>
      <c r="O336" s="177"/>
      <c r="P336" s="155"/>
      <c r="Q336" s="175"/>
      <c r="R336" s="154"/>
      <c r="S336" s="61"/>
      <c r="U336" s="116"/>
      <c r="V336" s="125"/>
      <c r="W336" s="118"/>
      <c r="X336" s="116"/>
      <c r="Y336" s="125"/>
      <c r="Z336" s="118"/>
      <c r="AA336" s="119"/>
      <c r="AB336" s="117"/>
      <c r="AC336" s="124"/>
      <c r="AD336" s="125"/>
      <c r="AE336" s="125"/>
      <c r="AF336" s="126">
        <f t="shared" si="15"/>
        <v>0</v>
      </c>
    </row>
    <row r="337" spans="1:32" ht="12.75" hidden="1" customHeight="1" x14ac:dyDescent="0.25">
      <c r="A337" s="59"/>
      <c r="B337" s="111"/>
      <c r="C337" s="177"/>
      <c r="D337" s="156"/>
      <c r="E337" s="178"/>
      <c r="F337" s="154"/>
      <c r="G337" s="177"/>
      <c r="H337" s="157"/>
      <c r="I337" s="178"/>
      <c r="J337" s="154"/>
      <c r="K337" s="177"/>
      <c r="L337" s="157"/>
      <c r="M337" s="178"/>
      <c r="N337" s="154"/>
      <c r="O337" s="177"/>
      <c r="P337" s="157"/>
      <c r="Q337" s="178"/>
      <c r="R337" s="154"/>
      <c r="S337" s="61"/>
      <c r="U337" s="116"/>
      <c r="V337" s="125"/>
      <c r="W337" s="118"/>
      <c r="X337" s="116"/>
      <c r="Y337" s="125"/>
      <c r="Z337" s="118"/>
      <c r="AA337" s="119"/>
      <c r="AB337" s="117"/>
      <c r="AC337" s="124"/>
      <c r="AD337" s="125"/>
      <c r="AE337" s="125"/>
      <c r="AF337" s="126">
        <f t="shared" si="15"/>
        <v>0</v>
      </c>
    </row>
    <row r="338" spans="1:32" ht="12.75" hidden="1" customHeight="1" x14ac:dyDescent="0.25">
      <c r="A338" s="59"/>
      <c r="B338" s="111"/>
      <c r="C338" s="177"/>
      <c r="D338" s="156"/>
      <c r="E338" s="178"/>
      <c r="F338" s="154"/>
      <c r="G338" s="177"/>
      <c r="H338" s="157"/>
      <c r="I338" s="178"/>
      <c r="J338" s="154"/>
      <c r="K338" s="177"/>
      <c r="L338" s="157"/>
      <c r="M338" s="178"/>
      <c r="N338" s="154"/>
      <c r="O338" s="177"/>
      <c r="P338" s="157"/>
      <c r="Q338" s="178"/>
      <c r="R338" s="154"/>
      <c r="S338" s="61"/>
      <c r="U338" s="143"/>
      <c r="V338" s="125"/>
      <c r="W338" s="118"/>
      <c r="X338" s="143"/>
      <c r="Y338" s="125"/>
      <c r="Z338" s="118"/>
      <c r="AA338" s="124"/>
      <c r="AB338" s="125"/>
      <c r="AC338" s="151"/>
      <c r="AD338" s="125"/>
      <c r="AE338" s="125"/>
      <c r="AF338" s="126">
        <f t="shared" si="15"/>
        <v>0</v>
      </c>
    </row>
    <row r="339" spans="1:32" ht="12.75" hidden="1" customHeight="1" x14ac:dyDescent="0.25">
      <c r="A339" s="59"/>
      <c r="B339" s="111"/>
      <c r="C339" s="177"/>
      <c r="D339" s="156"/>
      <c r="E339" s="178"/>
      <c r="F339" s="154"/>
      <c r="G339" s="177"/>
      <c r="H339" s="157"/>
      <c r="I339" s="178"/>
      <c r="J339" s="154"/>
      <c r="K339" s="177"/>
      <c r="L339" s="157"/>
      <c r="M339" s="178"/>
      <c r="N339" s="154"/>
      <c r="O339" s="177"/>
      <c r="P339" s="157"/>
      <c r="Q339" s="178"/>
      <c r="R339" s="154"/>
      <c r="S339" s="61"/>
      <c r="U339" s="143"/>
      <c r="V339" s="125"/>
      <c r="W339" s="118"/>
      <c r="X339" s="143"/>
      <c r="Y339" s="125"/>
      <c r="Z339" s="118"/>
      <c r="AA339" s="124"/>
      <c r="AB339" s="125"/>
      <c r="AC339" s="151"/>
      <c r="AD339" s="125"/>
      <c r="AE339" s="125"/>
      <c r="AF339" s="126">
        <f t="shared" si="15"/>
        <v>0</v>
      </c>
    </row>
    <row r="340" spans="1:32" ht="12.75" hidden="1" customHeight="1" x14ac:dyDescent="0.25">
      <c r="A340" s="59"/>
      <c r="B340" s="111"/>
      <c r="C340" s="177"/>
      <c r="D340" s="156"/>
      <c r="E340" s="178"/>
      <c r="F340" s="154"/>
      <c r="G340" s="177"/>
      <c r="H340" s="157"/>
      <c r="I340" s="178"/>
      <c r="J340" s="154"/>
      <c r="K340" s="177"/>
      <c r="L340" s="157"/>
      <c r="M340" s="178"/>
      <c r="N340" s="154"/>
      <c r="O340" s="177"/>
      <c r="P340" s="157"/>
      <c r="Q340" s="178"/>
      <c r="R340" s="154"/>
      <c r="S340" s="61"/>
      <c r="U340" s="143"/>
      <c r="V340" s="125"/>
      <c r="W340" s="118"/>
      <c r="X340" s="143"/>
      <c r="Y340" s="125"/>
      <c r="Z340" s="118"/>
      <c r="AA340" s="124"/>
      <c r="AB340" s="125"/>
      <c r="AC340" s="151"/>
      <c r="AD340" s="125"/>
      <c r="AE340" s="125"/>
      <c r="AF340" s="126">
        <f t="shared" si="15"/>
        <v>0</v>
      </c>
    </row>
    <row r="341" spans="1:32" ht="12.75" hidden="1" customHeight="1" x14ac:dyDescent="0.25">
      <c r="A341" s="59"/>
      <c r="B341" s="111"/>
      <c r="C341" s="177"/>
      <c r="D341" s="156"/>
      <c r="E341" s="178"/>
      <c r="F341" s="154"/>
      <c r="G341" s="177"/>
      <c r="H341" s="157"/>
      <c r="I341" s="178"/>
      <c r="J341" s="154"/>
      <c r="K341" s="177"/>
      <c r="L341" s="157"/>
      <c r="M341" s="178"/>
      <c r="N341" s="154"/>
      <c r="O341" s="177"/>
      <c r="P341" s="157"/>
      <c r="Q341" s="178"/>
      <c r="R341" s="154"/>
      <c r="S341" s="61"/>
      <c r="U341" s="143"/>
      <c r="V341" s="125"/>
      <c r="W341" s="118"/>
      <c r="X341" s="143"/>
      <c r="Y341" s="125"/>
      <c r="Z341" s="118"/>
      <c r="AA341" s="124"/>
      <c r="AB341" s="125"/>
      <c r="AC341" s="124"/>
      <c r="AD341" s="125"/>
      <c r="AE341" s="125"/>
      <c r="AF341" s="126">
        <f t="shared" si="15"/>
        <v>0</v>
      </c>
    </row>
    <row r="342" spans="1:32" hidden="1" x14ac:dyDescent="0.25">
      <c r="A342" s="165"/>
      <c r="B342" s="64" t="s">
        <v>612</v>
      </c>
      <c r="C342" s="728" t="b">
        <v>0</v>
      </c>
      <c r="D342" s="728"/>
      <c r="E342" s="728" t="b">
        <v>0</v>
      </c>
      <c r="F342" s="728"/>
      <c r="G342" s="728" t="b">
        <v>0</v>
      </c>
      <c r="H342" s="728"/>
      <c r="I342" s="728" t="b">
        <v>0</v>
      </c>
      <c r="J342" s="728"/>
      <c r="K342" s="728" t="b">
        <v>0</v>
      </c>
      <c r="L342" s="728"/>
      <c r="M342" s="728" t="b">
        <v>0</v>
      </c>
      <c r="N342" s="728"/>
      <c r="O342" s="728" t="b">
        <v>0</v>
      </c>
      <c r="P342" s="728"/>
      <c r="Q342" s="728" t="b">
        <v>0</v>
      </c>
      <c r="R342" s="728"/>
      <c r="S342" s="170"/>
      <c r="U342" s="143">
        <f>V342+W342</f>
        <v>10</v>
      </c>
      <c r="V342" s="117">
        <v>10</v>
      </c>
      <c r="W342" s="118">
        <v>0</v>
      </c>
      <c r="X342" s="143">
        <f>Y342+Z342</f>
        <v>10</v>
      </c>
      <c r="Y342" s="117">
        <v>10</v>
      </c>
      <c r="Z342" s="118">
        <v>0</v>
      </c>
      <c r="AA342" s="124">
        <v>0</v>
      </c>
      <c r="AB342" s="125">
        <v>1</v>
      </c>
      <c r="AC342" s="124">
        <v>0</v>
      </c>
      <c r="AD342" s="117">
        <v>0</v>
      </c>
      <c r="AE342" s="117">
        <v>0</v>
      </c>
      <c r="AF342" s="126">
        <f>B341</f>
        <v>0</v>
      </c>
    </row>
    <row r="343" spans="1:32" hidden="1" x14ac:dyDescent="0.25">
      <c r="A343" s="165"/>
      <c r="B343" s="64"/>
      <c r="C343" s="663"/>
      <c r="D343" s="663"/>
      <c r="E343" s="663"/>
      <c r="F343" s="663"/>
      <c r="G343" s="663"/>
      <c r="H343" s="663"/>
      <c r="I343" s="663"/>
      <c r="J343" s="663"/>
      <c r="K343" s="663"/>
      <c r="L343" s="663"/>
      <c r="M343" s="663"/>
      <c r="N343" s="663"/>
      <c r="O343" s="663"/>
      <c r="P343" s="663"/>
      <c r="Q343" s="663"/>
      <c r="R343" s="663"/>
      <c r="S343" s="170"/>
    </row>
    <row r="344" spans="1:32" hidden="1" x14ac:dyDescent="0.25">
      <c r="A344" s="165"/>
      <c r="B344" s="64"/>
      <c r="C344" s="179"/>
      <c r="D344" s="64"/>
      <c r="E344" s="663"/>
      <c r="F344" s="663"/>
      <c r="G344" s="663"/>
      <c r="H344" s="663"/>
      <c r="I344" s="663"/>
      <c r="J344" s="663"/>
      <c r="K344" s="663"/>
      <c r="L344" s="663"/>
      <c r="M344" s="663"/>
      <c r="N344" s="663"/>
      <c r="O344" s="663"/>
      <c r="P344" s="663"/>
      <c r="Q344" s="663"/>
      <c r="R344" s="663"/>
      <c r="S344" s="170"/>
    </row>
    <row r="345" spans="1:32" hidden="1" x14ac:dyDescent="0.25">
      <c r="A345" s="165"/>
      <c r="B345" s="64"/>
      <c r="C345" s="179"/>
      <c r="D345" s="64"/>
      <c r="E345" s="663"/>
      <c r="F345" s="663"/>
      <c r="G345" s="663"/>
      <c r="H345" s="663"/>
      <c r="I345" s="663"/>
      <c r="J345" s="663"/>
      <c r="K345" s="663"/>
      <c r="L345" s="663"/>
      <c r="M345" s="663"/>
      <c r="N345" s="663"/>
      <c r="O345" s="663"/>
      <c r="P345" s="663"/>
      <c r="Q345" s="663"/>
      <c r="R345" s="663"/>
      <c r="S345" s="170"/>
    </row>
    <row r="346" spans="1:32" hidden="1" x14ac:dyDescent="0.25">
      <c r="A346" s="165"/>
      <c r="B346" s="64"/>
      <c r="C346" s="180"/>
      <c r="D346" s="663"/>
      <c r="E346" s="663"/>
      <c r="F346" s="663"/>
      <c r="G346" s="663"/>
      <c r="H346" s="663"/>
      <c r="I346" s="663"/>
      <c r="J346" s="663"/>
      <c r="K346" s="663"/>
      <c r="L346" s="663"/>
      <c r="M346" s="663"/>
      <c r="N346" s="663"/>
      <c r="O346" s="663"/>
      <c r="P346" s="663"/>
      <c r="Q346" s="663"/>
      <c r="R346" s="663"/>
      <c r="S346" s="170"/>
    </row>
    <row r="347" spans="1:32" hidden="1" x14ac:dyDescent="0.25">
      <c r="A347" s="165"/>
      <c r="B347" s="64"/>
      <c r="C347" s="180"/>
      <c r="D347" s="663"/>
      <c r="E347" s="663"/>
      <c r="F347" s="663"/>
      <c r="G347" s="663"/>
      <c r="H347" s="663"/>
      <c r="I347" s="663"/>
      <c r="J347" s="663"/>
      <c r="K347" s="663"/>
      <c r="L347" s="663"/>
      <c r="M347" s="663"/>
      <c r="N347" s="663"/>
      <c r="O347" s="663"/>
      <c r="P347" s="663"/>
      <c r="Q347" s="663"/>
      <c r="R347" s="663"/>
      <c r="S347" s="170"/>
    </row>
    <row r="348" spans="1:32" hidden="1" x14ac:dyDescent="0.25">
      <c r="A348" s="165"/>
      <c r="B348" s="64"/>
      <c r="C348" s="180"/>
      <c r="D348" s="663"/>
      <c r="E348" s="663"/>
      <c r="F348" s="663"/>
      <c r="G348" s="663"/>
      <c r="H348" s="663"/>
      <c r="I348" s="663"/>
      <c r="J348" s="663"/>
      <c r="K348" s="663"/>
      <c r="L348" s="663"/>
      <c r="M348" s="663"/>
      <c r="N348" s="663"/>
      <c r="O348" s="663"/>
      <c r="P348" s="663"/>
      <c r="Q348" s="663"/>
      <c r="R348" s="663"/>
      <c r="S348" s="170"/>
    </row>
    <row r="349" spans="1:32" hidden="1" x14ac:dyDescent="0.25">
      <c r="A349" s="165"/>
      <c r="B349" s="64"/>
      <c r="C349" s="179"/>
      <c r="D349" s="64"/>
      <c r="E349" s="663"/>
      <c r="F349" s="663"/>
      <c r="G349" s="663"/>
      <c r="H349" s="663"/>
      <c r="I349" s="663"/>
      <c r="J349" s="663"/>
      <c r="K349" s="663"/>
      <c r="L349" s="663"/>
      <c r="M349" s="663"/>
      <c r="N349" s="663"/>
      <c r="O349" s="663"/>
      <c r="P349" s="663"/>
      <c r="Q349" s="663"/>
      <c r="R349" s="663"/>
      <c r="S349" s="170"/>
    </row>
    <row r="350" spans="1:32" hidden="1" x14ac:dyDescent="0.25">
      <c r="A350" s="165"/>
      <c r="B350" s="64"/>
      <c r="C350" s="663"/>
      <c r="D350" s="64"/>
      <c r="E350" s="663"/>
      <c r="F350" s="663"/>
      <c r="G350" s="663"/>
      <c r="H350" s="663"/>
      <c r="I350" s="663"/>
      <c r="J350" s="663"/>
      <c r="K350" s="663"/>
      <c r="L350" s="663"/>
      <c r="M350" s="663"/>
      <c r="N350" s="663"/>
      <c r="O350" s="663"/>
      <c r="P350" s="663"/>
      <c r="Q350" s="663"/>
      <c r="R350" s="663"/>
      <c r="S350" s="170"/>
    </row>
    <row r="351" spans="1:32" ht="12.75" hidden="1" customHeight="1" collapsed="1" x14ac:dyDescent="0.25">
      <c r="A351" s="59"/>
      <c r="B351" s="725" t="s">
        <v>613</v>
      </c>
      <c r="C351" s="732"/>
      <c r="D351" s="732"/>
      <c r="E351" s="732"/>
      <c r="F351" s="732"/>
      <c r="G351" s="732"/>
      <c r="H351" s="732"/>
      <c r="I351" s="732"/>
      <c r="J351" s="732"/>
      <c r="K351" s="732"/>
      <c r="L351" s="732"/>
      <c r="M351" s="732"/>
      <c r="N351" s="732"/>
      <c r="O351" s="130"/>
      <c r="P351" s="130"/>
      <c r="Q351" s="130"/>
      <c r="R351" s="131"/>
      <c r="S351" s="94"/>
      <c r="U351" s="145"/>
      <c r="V351" s="136"/>
      <c r="W351" s="134"/>
      <c r="X351" s="145"/>
      <c r="Y351" s="136"/>
      <c r="Z351" s="134"/>
      <c r="AA351" s="135"/>
      <c r="AB351" s="136"/>
      <c r="AC351" s="136"/>
      <c r="AD351" s="136"/>
      <c r="AE351" s="136"/>
      <c r="AF351" s="173" t="str">
        <f t="shared" ref="AF351:AF360" si="16">B351</f>
        <v>Intrinsically safe stub lines 2 (Ex)  -  Line capacitance max. 82nF, line inductance max. 2.3mH, line resistance max. 50 Ohm</v>
      </c>
    </row>
    <row r="352" spans="1:32" ht="27.75" hidden="1" customHeight="1" outlineLevel="1" x14ac:dyDescent="0.25">
      <c r="A352" s="59"/>
      <c r="B352" s="121" t="s">
        <v>609</v>
      </c>
      <c r="C352" s="174"/>
      <c r="D352" s="113"/>
      <c r="E352" s="175"/>
      <c r="F352" s="138"/>
      <c r="G352" s="174"/>
      <c r="H352" s="155"/>
      <c r="I352" s="175"/>
      <c r="J352" s="138"/>
      <c r="K352" s="174"/>
      <c r="L352" s="155"/>
      <c r="M352" s="175"/>
      <c r="N352" s="138"/>
      <c r="O352" s="174"/>
      <c r="P352" s="155"/>
      <c r="Q352" s="175"/>
      <c r="R352" s="138"/>
      <c r="S352" s="94"/>
      <c r="U352" s="145"/>
      <c r="V352" s="136"/>
      <c r="W352" s="134"/>
      <c r="X352" s="145"/>
      <c r="Y352" s="136"/>
      <c r="Z352" s="134"/>
      <c r="AA352" s="135"/>
      <c r="AB352" s="136"/>
      <c r="AC352" s="136"/>
      <c r="AD352" s="136"/>
      <c r="AE352" s="136"/>
      <c r="AF352" s="173" t="str">
        <f t="shared" si="16"/>
        <v>FDCL221-Ex - Line adaptor Ex</v>
      </c>
    </row>
    <row r="353" spans="1:32" hidden="1" outlineLevel="1" x14ac:dyDescent="0.25">
      <c r="A353" s="59"/>
      <c r="B353" s="121" t="s">
        <v>610</v>
      </c>
      <c r="C353" s="344">
        <v>0</v>
      </c>
      <c r="D353" s="113" t="s">
        <v>256</v>
      </c>
      <c r="E353" s="176"/>
      <c r="F353" s="138"/>
      <c r="G353" s="344">
        <v>0</v>
      </c>
      <c r="H353" s="155" t="s">
        <v>256</v>
      </c>
      <c r="I353" s="176"/>
      <c r="J353" s="138"/>
      <c r="K353" s="344">
        <v>0</v>
      </c>
      <c r="L353" s="155" t="s">
        <v>256</v>
      </c>
      <c r="M353" s="176"/>
      <c r="N353" s="138"/>
      <c r="O353" s="344">
        <v>0</v>
      </c>
      <c r="P353" s="155" t="s">
        <v>256</v>
      </c>
      <c r="Q353" s="176"/>
      <c r="R353" s="138"/>
      <c r="S353" s="94"/>
      <c r="U353" s="143">
        <f>V353+W353</f>
        <v>1.25</v>
      </c>
      <c r="V353" s="117">
        <v>1.25</v>
      </c>
      <c r="W353" s="118">
        <v>0</v>
      </c>
      <c r="X353" s="143">
        <f>Y353+Z353</f>
        <v>1.25</v>
      </c>
      <c r="Y353" s="117">
        <v>1.25</v>
      </c>
      <c r="Z353" s="118">
        <v>0</v>
      </c>
      <c r="AA353" s="124">
        <v>0</v>
      </c>
      <c r="AB353" s="125">
        <v>1</v>
      </c>
      <c r="AC353" s="125">
        <v>1</v>
      </c>
      <c r="AD353" s="117">
        <v>0</v>
      </c>
      <c r="AE353" s="117">
        <v>0</v>
      </c>
      <c r="AF353" s="126" t="str">
        <f t="shared" si="16"/>
        <v>OOH740-A9-Ex - Neural fire detector Ex</v>
      </c>
    </row>
    <row r="354" spans="1:32" hidden="1" outlineLevel="1" x14ac:dyDescent="0.25">
      <c r="A354" s="59"/>
      <c r="B354" s="121" t="s">
        <v>611</v>
      </c>
      <c r="C354" s="344">
        <v>0</v>
      </c>
      <c r="D354" s="113" t="s">
        <v>256</v>
      </c>
      <c r="E354" s="176"/>
      <c r="F354" s="138"/>
      <c r="G354" s="344">
        <v>0</v>
      </c>
      <c r="H354" s="155" t="s">
        <v>256</v>
      </c>
      <c r="I354" s="176"/>
      <c r="J354" s="138"/>
      <c r="K354" s="344">
        <v>0</v>
      </c>
      <c r="L354" s="155" t="s">
        <v>256</v>
      </c>
      <c r="M354" s="176"/>
      <c r="N354" s="138"/>
      <c r="O354" s="344">
        <v>0</v>
      </c>
      <c r="P354" s="155" t="s">
        <v>256</v>
      </c>
      <c r="Q354" s="176"/>
      <c r="R354" s="138"/>
      <c r="S354" s="94"/>
      <c r="U354" s="143">
        <f>V354+W354</f>
        <v>1.25</v>
      </c>
      <c r="V354" s="125">
        <v>1.25</v>
      </c>
      <c r="W354" s="118">
        <v>0</v>
      </c>
      <c r="X354" s="143">
        <f>Y354+Z354</f>
        <v>1.25</v>
      </c>
      <c r="Y354" s="125">
        <v>1.25</v>
      </c>
      <c r="Z354" s="118">
        <v>0</v>
      </c>
      <c r="AA354" s="124">
        <v>0</v>
      </c>
      <c r="AB354" s="125">
        <v>1</v>
      </c>
      <c r="AC354" s="125">
        <v>1</v>
      </c>
      <c r="AD354" s="125">
        <v>0</v>
      </c>
      <c r="AE354" s="125">
        <v>0</v>
      </c>
      <c r="AF354" s="126" t="str">
        <f t="shared" si="16"/>
        <v>FDM223-Ex - Manual call point Ex</v>
      </c>
    </row>
    <row r="355" spans="1:32" ht="12.75" hidden="1" customHeight="1" x14ac:dyDescent="0.25">
      <c r="A355" s="59"/>
      <c r="B355" s="111"/>
      <c r="C355" s="347">
        <v>0</v>
      </c>
      <c r="D355" s="113"/>
      <c r="E355" s="175"/>
      <c r="F355" s="154"/>
      <c r="G355" s="347">
        <v>0</v>
      </c>
      <c r="H355" s="155"/>
      <c r="I355" s="175"/>
      <c r="J355" s="154"/>
      <c r="K355" s="347">
        <v>0</v>
      </c>
      <c r="L355" s="155"/>
      <c r="M355" s="175"/>
      <c r="N355" s="154"/>
      <c r="O355" s="347">
        <v>0</v>
      </c>
      <c r="P355" s="155"/>
      <c r="Q355" s="175"/>
      <c r="R355" s="154"/>
      <c r="S355" s="61"/>
      <c r="U355" s="116"/>
      <c r="V355" s="125"/>
      <c r="W355" s="118"/>
      <c r="X355" s="116"/>
      <c r="Y355" s="125"/>
      <c r="Z355" s="118"/>
      <c r="AA355" s="119"/>
      <c r="AB355" s="117"/>
      <c r="AC355" s="124"/>
      <c r="AD355" s="125"/>
      <c r="AE355" s="125"/>
      <c r="AF355" s="126">
        <f t="shared" si="16"/>
        <v>0</v>
      </c>
    </row>
    <row r="356" spans="1:32" ht="12.75" hidden="1" customHeight="1" x14ac:dyDescent="0.25">
      <c r="A356" s="59"/>
      <c r="B356" s="111"/>
      <c r="C356" s="177"/>
      <c r="D356" s="156"/>
      <c r="E356" s="178"/>
      <c r="F356" s="154"/>
      <c r="G356" s="177"/>
      <c r="H356" s="157"/>
      <c r="I356" s="178"/>
      <c r="J356" s="154"/>
      <c r="K356" s="177"/>
      <c r="L356" s="157"/>
      <c r="M356" s="178"/>
      <c r="N356" s="154"/>
      <c r="O356" s="177"/>
      <c r="P356" s="157"/>
      <c r="Q356" s="178"/>
      <c r="R356" s="154"/>
      <c r="S356" s="61"/>
      <c r="U356" s="116"/>
      <c r="V356" s="125"/>
      <c r="W356" s="118"/>
      <c r="X356" s="116"/>
      <c r="Y356" s="125"/>
      <c r="Z356" s="118"/>
      <c r="AA356" s="119"/>
      <c r="AB356" s="117"/>
      <c r="AC356" s="124"/>
      <c r="AD356" s="125"/>
      <c r="AE356" s="125"/>
      <c r="AF356" s="126">
        <f t="shared" si="16"/>
        <v>0</v>
      </c>
    </row>
    <row r="357" spans="1:32" ht="12.75" hidden="1" customHeight="1" x14ac:dyDescent="0.25">
      <c r="A357" s="59"/>
      <c r="B357" s="111"/>
      <c r="C357" s="177"/>
      <c r="D357" s="156"/>
      <c r="E357" s="178"/>
      <c r="F357" s="154"/>
      <c r="G357" s="177"/>
      <c r="H357" s="157"/>
      <c r="I357" s="178"/>
      <c r="J357" s="154"/>
      <c r="K357" s="177"/>
      <c r="L357" s="157"/>
      <c r="M357" s="178"/>
      <c r="N357" s="154"/>
      <c r="O357" s="177"/>
      <c r="P357" s="157"/>
      <c r="Q357" s="178"/>
      <c r="R357" s="154"/>
      <c r="S357" s="61"/>
      <c r="U357" s="143"/>
      <c r="V357" s="125"/>
      <c r="W357" s="118"/>
      <c r="X357" s="143"/>
      <c r="Y357" s="125"/>
      <c r="Z357" s="118"/>
      <c r="AA357" s="124"/>
      <c r="AB357" s="125"/>
      <c r="AC357" s="151"/>
      <c r="AD357" s="125"/>
      <c r="AE357" s="125"/>
      <c r="AF357" s="126">
        <f t="shared" si="16"/>
        <v>0</v>
      </c>
    </row>
    <row r="358" spans="1:32" ht="12.75" hidden="1" customHeight="1" x14ac:dyDescent="0.25">
      <c r="A358" s="59"/>
      <c r="B358" s="111"/>
      <c r="C358" s="177"/>
      <c r="D358" s="156"/>
      <c r="E358" s="178"/>
      <c r="F358" s="154"/>
      <c r="G358" s="177"/>
      <c r="H358" s="157"/>
      <c r="I358" s="178"/>
      <c r="J358" s="154"/>
      <c r="K358" s="177"/>
      <c r="L358" s="157"/>
      <c r="M358" s="178"/>
      <c r="N358" s="154"/>
      <c r="O358" s="177"/>
      <c r="P358" s="157"/>
      <c r="Q358" s="178"/>
      <c r="R358" s="154"/>
      <c r="S358" s="61"/>
      <c r="U358" s="143"/>
      <c r="V358" s="125"/>
      <c r="W358" s="118"/>
      <c r="X358" s="143"/>
      <c r="Y358" s="125"/>
      <c r="Z358" s="118"/>
      <c r="AA358" s="124"/>
      <c r="AB358" s="125"/>
      <c r="AC358" s="151"/>
      <c r="AD358" s="125"/>
      <c r="AE358" s="125"/>
      <c r="AF358" s="126">
        <f t="shared" si="16"/>
        <v>0</v>
      </c>
    </row>
    <row r="359" spans="1:32" ht="12.75" hidden="1" customHeight="1" x14ac:dyDescent="0.25">
      <c r="A359" s="59"/>
      <c r="B359" s="111"/>
      <c r="C359" s="177"/>
      <c r="D359" s="156"/>
      <c r="E359" s="178"/>
      <c r="F359" s="154"/>
      <c r="G359" s="177"/>
      <c r="H359" s="157"/>
      <c r="I359" s="178"/>
      <c r="J359" s="154"/>
      <c r="K359" s="177"/>
      <c r="L359" s="157"/>
      <c r="M359" s="178"/>
      <c r="N359" s="154"/>
      <c r="O359" s="177"/>
      <c r="P359" s="157"/>
      <c r="Q359" s="178"/>
      <c r="R359" s="154"/>
      <c r="S359" s="61"/>
      <c r="U359" s="143"/>
      <c r="V359" s="125"/>
      <c r="W359" s="118"/>
      <c r="X359" s="143"/>
      <c r="Y359" s="125"/>
      <c r="Z359" s="118"/>
      <c r="AA359" s="124"/>
      <c r="AB359" s="125"/>
      <c r="AC359" s="151"/>
      <c r="AD359" s="125"/>
      <c r="AE359" s="125"/>
      <c r="AF359" s="126">
        <f t="shared" si="16"/>
        <v>0</v>
      </c>
    </row>
    <row r="360" spans="1:32" ht="12.75" hidden="1" customHeight="1" thickBot="1" x14ac:dyDescent="0.3">
      <c r="A360" s="59"/>
      <c r="B360" s="181"/>
      <c r="C360" s="182"/>
      <c r="D360" s="183"/>
      <c r="E360" s="184"/>
      <c r="F360" s="185"/>
      <c r="G360" s="182"/>
      <c r="H360" s="186"/>
      <c r="I360" s="184"/>
      <c r="J360" s="185"/>
      <c r="K360" s="182"/>
      <c r="L360" s="186"/>
      <c r="M360" s="184"/>
      <c r="N360" s="185"/>
      <c r="O360" s="182"/>
      <c r="P360" s="186"/>
      <c r="Q360" s="184"/>
      <c r="R360" s="185"/>
      <c r="S360" s="61"/>
      <c r="U360" s="143"/>
      <c r="V360" s="125"/>
      <c r="W360" s="118"/>
      <c r="X360" s="143"/>
      <c r="Y360" s="125"/>
      <c r="Z360" s="118"/>
      <c r="AA360" s="124"/>
      <c r="AB360" s="125"/>
      <c r="AC360" s="124"/>
      <c r="AD360" s="125"/>
      <c r="AE360" s="125"/>
      <c r="AF360" s="126">
        <f t="shared" si="16"/>
        <v>0</v>
      </c>
    </row>
    <row r="361" spans="1:32" hidden="1" x14ac:dyDescent="0.25">
      <c r="A361" s="165"/>
      <c r="B361" s="64" t="s">
        <v>612</v>
      </c>
      <c r="C361" s="728" t="b">
        <v>0</v>
      </c>
      <c r="D361" s="728"/>
      <c r="E361" s="728" t="b">
        <v>0</v>
      </c>
      <c r="F361" s="728"/>
      <c r="G361" s="728" t="b">
        <v>0</v>
      </c>
      <c r="H361" s="728"/>
      <c r="I361" s="728" t="b">
        <v>0</v>
      </c>
      <c r="J361" s="728"/>
      <c r="K361" s="728" t="b">
        <v>0</v>
      </c>
      <c r="L361" s="728"/>
      <c r="M361" s="728" t="b">
        <v>0</v>
      </c>
      <c r="N361" s="728"/>
      <c r="O361" s="728" t="b">
        <v>0</v>
      </c>
      <c r="P361" s="728"/>
      <c r="Q361" s="728" t="b">
        <v>0</v>
      </c>
      <c r="R361" s="728"/>
      <c r="S361" s="170"/>
      <c r="U361" s="143">
        <f>V361+W361</f>
        <v>10</v>
      </c>
      <c r="V361" s="117">
        <v>10</v>
      </c>
      <c r="W361" s="118">
        <v>0</v>
      </c>
      <c r="X361" s="143">
        <f>Y361+Z361</f>
        <v>10</v>
      </c>
      <c r="Y361" s="117">
        <v>10</v>
      </c>
      <c r="Z361" s="118">
        <v>0</v>
      </c>
      <c r="AA361" s="124">
        <v>0</v>
      </c>
      <c r="AB361" s="125">
        <v>1</v>
      </c>
      <c r="AC361" s="124">
        <v>0</v>
      </c>
      <c r="AD361" s="117">
        <v>0</v>
      </c>
      <c r="AE361" s="117">
        <v>0</v>
      </c>
      <c r="AF361" s="126"/>
    </row>
    <row r="362" spans="1:32" hidden="1" x14ac:dyDescent="0.25">
      <c r="A362" s="165"/>
      <c r="B362" s="64"/>
      <c r="C362" s="663"/>
      <c r="D362" s="663"/>
      <c r="E362" s="663"/>
      <c r="F362" s="663"/>
      <c r="G362" s="663"/>
      <c r="H362" s="663"/>
      <c r="I362" s="663"/>
      <c r="J362" s="663"/>
      <c r="K362" s="663"/>
      <c r="L362" s="663"/>
      <c r="M362" s="663"/>
      <c r="N362" s="663"/>
      <c r="O362" s="663"/>
      <c r="P362" s="663"/>
      <c r="Q362" s="663"/>
      <c r="R362" s="663"/>
      <c r="S362" s="170"/>
    </row>
    <row r="363" spans="1:32" hidden="1" x14ac:dyDescent="0.25">
      <c r="A363" s="165"/>
      <c r="B363" s="64"/>
      <c r="C363" s="179"/>
      <c r="D363" s="64"/>
      <c r="E363" s="663"/>
      <c r="F363" s="663"/>
      <c r="G363" s="663"/>
      <c r="H363" s="663"/>
      <c r="I363" s="663"/>
      <c r="J363" s="663"/>
      <c r="K363" s="663"/>
      <c r="L363" s="663"/>
      <c r="M363" s="663"/>
      <c r="N363" s="663"/>
      <c r="O363" s="663"/>
      <c r="P363" s="663"/>
      <c r="Q363" s="663"/>
      <c r="R363" s="663"/>
      <c r="S363" s="170"/>
    </row>
    <row r="364" spans="1:32" hidden="1" x14ac:dyDescent="0.25">
      <c r="A364" s="165"/>
      <c r="B364" s="64"/>
      <c r="C364" s="179"/>
      <c r="D364" s="64"/>
      <c r="E364" s="663"/>
      <c r="F364" s="663"/>
      <c r="G364" s="663"/>
      <c r="H364" s="663"/>
      <c r="I364" s="663"/>
      <c r="J364" s="663"/>
      <c r="K364" s="663"/>
      <c r="L364" s="663"/>
      <c r="M364" s="663"/>
      <c r="N364" s="663"/>
      <c r="O364" s="663"/>
      <c r="P364" s="663"/>
      <c r="Q364" s="663"/>
      <c r="R364" s="663"/>
      <c r="S364" s="170"/>
    </row>
    <row r="365" spans="1:32" hidden="1" x14ac:dyDescent="0.25">
      <c r="A365" s="165"/>
      <c r="B365" s="64"/>
      <c r="C365" s="180"/>
      <c r="D365" s="663"/>
      <c r="E365" s="663"/>
      <c r="F365" s="663"/>
      <c r="G365" s="663"/>
      <c r="H365" s="663"/>
      <c r="I365" s="663"/>
      <c r="J365" s="663"/>
      <c r="K365" s="663"/>
      <c r="L365" s="663"/>
      <c r="M365" s="663"/>
      <c r="N365" s="663"/>
      <c r="O365" s="663"/>
      <c r="P365" s="663"/>
      <c r="Q365" s="663"/>
      <c r="R365" s="663"/>
      <c r="S365" s="170"/>
    </row>
    <row r="366" spans="1:32" hidden="1" x14ac:dyDescent="0.25">
      <c r="A366" s="165"/>
      <c r="B366" s="64"/>
      <c r="C366" s="180"/>
      <c r="D366" s="663"/>
      <c r="E366" s="663"/>
      <c r="F366" s="663"/>
      <c r="G366" s="663"/>
      <c r="H366" s="663"/>
      <c r="I366" s="663"/>
      <c r="J366" s="663"/>
      <c r="K366" s="663"/>
      <c r="L366" s="663"/>
      <c r="M366" s="663"/>
      <c r="N366" s="663"/>
      <c r="O366" s="663"/>
      <c r="P366" s="663"/>
      <c r="Q366" s="663"/>
      <c r="R366" s="663"/>
      <c r="S366" s="170"/>
    </row>
    <row r="367" spans="1:32" hidden="1" x14ac:dyDescent="0.25">
      <c r="A367" s="165"/>
      <c r="B367" s="64"/>
      <c r="C367" s="180"/>
      <c r="D367" s="663"/>
      <c r="E367" s="663"/>
      <c r="F367" s="663"/>
      <c r="G367" s="663"/>
      <c r="H367" s="663"/>
      <c r="I367" s="663"/>
      <c r="J367" s="663"/>
      <c r="K367" s="663"/>
      <c r="L367" s="663"/>
      <c r="M367" s="663"/>
      <c r="N367" s="663"/>
      <c r="O367" s="663"/>
      <c r="P367" s="663"/>
      <c r="Q367" s="663"/>
      <c r="R367" s="663"/>
      <c r="S367" s="170"/>
    </row>
    <row r="368" spans="1:32" hidden="1" x14ac:dyDescent="0.25">
      <c r="A368" s="165"/>
      <c r="B368" s="64"/>
      <c r="C368" s="180"/>
      <c r="D368" s="663"/>
      <c r="E368" s="663"/>
      <c r="F368" s="663"/>
      <c r="G368" s="663"/>
      <c r="H368" s="663"/>
      <c r="I368" s="663"/>
      <c r="J368" s="663"/>
      <c r="K368" s="663"/>
      <c r="L368" s="663"/>
      <c r="M368" s="663"/>
      <c r="N368" s="663"/>
      <c r="O368" s="663"/>
      <c r="P368" s="663"/>
      <c r="Q368" s="663"/>
      <c r="R368" s="663"/>
      <c r="S368" s="170"/>
    </row>
    <row r="369" spans="1:19" hidden="1" x14ac:dyDescent="0.25">
      <c r="A369" s="165"/>
      <c r="B369" s="64"/>
      <c r="C369" s="180"/>
      <c r="D369" s="663"/>
      <c r="E369" s="663"/>
      <c r="F369" s="663"/>
      <c r="G369" s="663"/>
      <c r="H369" s="663"/>
      <c r="I369" s="663"/>
      <c r="J369" s="663"/>
      <c r="K369" s="663"/>
      <c r="L369" s="663"/>
      <c r="M369" s="663"/>
      <c r="N369" s="663"/>
      <c r="O369" s="663"/>
      <c r="P369" s="663"/>
      <c r="Q369" s="663"/>
      <c r="R369" s="663"/>
      <c r="S369" s="170"/>
    </row>
    <row r="370" spans="1:19" hidden="1" x14ac:dyDescent="0.25">
      <c r="A370" s="165"/>
      <c r="B370" s="64"/>
      <c r="C370" s="179"/>
      <c r="D370" s="64"/>
      <c r="E370" s="663"/>
      <c r="F370" s="663"/>
      <c r="G370" s="663"/>
      <c r="H370" s="663"/>
      <c r="I370" s="663"/>
      <c r="J370" s="663"/>
      <c r="K370" s="663"/>
      <c r="L370" s="663"/>
      <c r="M370" s="663"/>
      <c r="N370" s="663"/>
      <c r="O370" s="663"/>
      <c r="P370" s="663"/>
      <c r="Q370" s="663"/>
      <c r="R370" s="663"/>
      <c r="S370" s="170"/>
    </row>
    <row r="371" spans="1:19" hidden="1" x14ac:dyDescent="0.25">
      <c r="A371" s="165"/>
      <c r="B371" s="64"/>
      <c r="C371" s="179"/>
      <c r="D371" s="64"/>
      <c r="E371" s="663"/>
      <c r="F371" s="663"/>
      <c r="G371" s="663"/>
      <c r="H371" s="663"/>
      <c r="I371" s="663"/>
      <c r="J371" s="663"/>
      <c r="K371" s="663"/>
      <c r="L371" s="663"/>
      <c r="M371" s="663"/>
      <c r="N371" s="663"/>
      <c r="O371" s="663"/>
      <c r="P371" s="663"/>
      <c r="Q371" s="663"/>
      <c r="R371" s="663"/>
      <c r="S371" s="170"/>
    </row>
    <row r="372" spans="1:19" ht="13" hidden="1" x14ac:dyDescent="0.25">
      <c r="A372" s="165"/>
      <c r="B372" s="172"/>
      <c r="C372" s="180"/>
      <c r="D372" s="663"/>
      <c r="E372" s="663"/>
      <c r="F372" s="663"/>
      <c r="G372" s="663"/>
      <c r="H372" s="663"/>
      <c r="I372" s="663"/>
      <c r="J372" s="663"/>
      <c r="K372" s="663"/>
      <c r="L372" s="663"/>
      <c r="M372" s="663"/>
      <c r="N372" s="663"/>
      <c r="O372" s="663"/>
      <c r="P372" s="663"/>
      <c r="Q372" s="663"/>
      <c r="R372" s="663"/>
      <c r="S372" s="170"/>
    </row>
    <row r="373" spans="1:19" ht="13" hidden="1" x14ac:dyDescent="0.25">
      <c r="A373" s="165"/>
      <c r="B373" s="172"/>
      <c r="C373" s="180"/>
      <c r="D373" s="663"/>
      <c r="E373" s="663"/>
      <c r="F373" s="663"/>
      <c r="G373" s="663"/>
      <c r="H373" s="663"/>
      <c r="I373" s="663"/>
      <c r="J373" s="663"/>
      <c r="K373" s="663"/>
      <c r="L373" s="663"/>
      <c r="M373" s="663"/>
      <c r="N373" s="663"/>
      <c r="O373" s="663"/>
      <c r="P373" s="663"/>
      <c r="Q373" s="663"/>
      <c r="R373" s="663"/>
      <c r="S373" s="170"/>
    </row>
    <row r="374" spans="1:19" ht="13" hidden="1" x14ac:dyDescent="0.25">
      <c r="A374" s="165"/>
      <c r="B374" s="172"/>
      <c r="C374" s="180"/>
      <c r="D374" s="663"/>
      <c r="E374" s="663"/>
      <c r="F374" s="663"/>
      <c r="G374" s="663"/>
      <c r="H374" s="663"/>
      <c r="I374" s="663"/>
      <c r="J374" s="663"/>
      <c r="K374" s="663"/>
      <c r="L374" s="663"/>
      <c r="M374" s="663"/>
      <c r="N374" s="663"/>
      <c r="O374" s="663"/>
      <c r="P374" s="663"/>
      <c r="Q374" s="663"/>
      <c r="R374" s="663"/>
      <c r="S374" s="170"/>
    </row>
    <row r="375" spans="1:19" ht="13" hidden="1" x14ac:dyDescent="0.25">
      <c r="A375" s="165"/>
      <c r="B375" s="166" t="s">
        <v>605</v>
      </c>
      <c r="C375" s="180"/>
      <c r="D375" s="663"/>
      <c r="E375" s="663"/>
      <c r="F375" s="663"/>
      <c r="G375" s="663"/>
      <c r="H375" s="663"/>
      <c r="I375" s="663"/>
      <c r="J375" s="663"/>
      <c r="K375" s="663"/>
      <c r="L375" s="663"/>
      <c r="M375" s="663"/>
      <c r="N375" s="663"/>
      <c r="O375" s="663"/>
      <c r="P375" s="663"/>
      <c r="Q375" s="663"/>
      <c r="R375" s="663"/>
      <c r="S375" s="170"/>
    </row>
    <row r="376" spans="1:19" ht="13" hidden="1" x14ac:dyDescent="0.25">
      <c r="A376" s="165"/>
      <c r="B376" s="172" t="s">
        <v>606</v>
      </c>
      <c r="C376" s="180"/>
      <c r="D376" s="663"/>
      <c r="E376" s="663"/>
      <c r="F376" s="663"/>
      <c r="G376" s="663"/>
      <c r="H376" s="663"/>
      <c r="I376" s="663"/>
      <c r="J376" s="663"/>
      <c r="K376" s="663"/>
      <c r="L376" s="663"/>
      <c r="M376" s="663"/>
      <c r="N376" s="663"/>
      <c r="O376" s="663"/>
      <c r="P376" s="663"/>
      <c r="Q376" s="663"/>
      <c r="R376" s="663"/>
      <c r="S376" s="170"/>
    </row>
    <row r="377" spans="1:19" ht="13" hidden="1" x14ac:dyDescent="0.25">
      <c r="A377" s="165"/>
      <c r="B377" s="172" t="s">
        <v>607</v>
      </c>
      <c r="C377" s="180"/>
      <c r="D377" s="663"/>
      <c r="E377" s="663"/>
      <c r="F377" s="663"/>
      <c r="G377" s="663"/>
      <c r="H377" s="663"/>
      <c r="I377" s="663"/>
      <c r="J377" s="663"/>
      <c r="K377" s="663"/>
      <c r="L377" s="663"/>
      <c r="M377" s="663"/>
      <c r="N377" s="663"/>
      <c r="O377" s="663"/>
      <c r="P377" s="663"/>
      <c r="Q377" s="663"/>
      <c r="R377" s="663"/>
      <c r="S377" s="170"/>
    </row>
    <row r="378" spans="1:19" ht="13" hidden="1" x14ac:dyDescent="0.25">
      <c r="A378" s="165"/>
      <c r="B378" s="172"/>
      <c r="C378" s="180"/>
      <c r="D378" s="663"/>
      <c r="E378" s="663"/>
      <c r="F378" s="663"/>
      <c r="G378" s="663"/>
      <c r="H378" s="663"/>
      <c r="I378" s="663"/>
      <c r="J378" s="663"/>
      <c r="K378" s="663"/>
      <c r="L378" s="663"/>
      <c r="M378" s="663"/>
      <c r="N378" s="663"/>
      <c r="O378" s="663"/>
      <c r="P378" s="663"/>
      <c r="Q378" s="663"/>
      <c r="R378" s="663"/>
      <c r="S378" s="170"/>
    </row>
    <row r="379" spans="1:19" hidden="1" x14ac:dyDescent="0.25">
      <c r="A379" s="165"/>
      <c r="B379" s="64"/>
      <c r="C379" s="180"/>
      <c r="D379" s="663"/>
      <c r="E379" s="663"/>
      <c r="F379" s="663"/>
      <c r="G379" s="663"/>
      <c r="H379" s="663"/>
      <c r="I379" s="663"/>
      <c r="J379" s="663"/>
      <c r="K379" s="663"/>
      <c r="L379" s="663"/>
      <c r="M379" s="663"/>
      <c r="N379" s="663"/>
      <c r="O379" s="663"/>
      <c r="P379" s="663"/>
      <c r="Q379" s="663"/>
      <c r="R379" s="663"/>
      <c r="S379" s="170"/>
    </row>
    <row r="380" spans="1:19" hidden="1" x14ac:dyDescent="0.25">
      <c r="A380" s="165"/>
      <c r="B380" s="64" t="s">
        <v>614</v>
      </c>
      <c r="C380" s="180"/>
      <c r="D380" s="663"/>
      <c r="E380" s="663"/>
      <c r="F380" s="663"/>
      <c r="G380" s="663"/>
      <c r="H380" s="663"/>
      <c r="I380" s="663"/>
      <c r="J380" s="663"/>
      <c r="K380" s="663"/>
      <c r="L380" s="663"/>
      <c r="M380" s="663"/>
      <c r="N380" s="663"/>
      <c r="O380" s="663"/>
      <c r="P380" s="663"/>
      <c r="Q380" s="663"/>
      <c r="R380" s="663"/>
      <c r="S380" s="170"/>
    </row>
    <row r="381" spans="1:19" s="66" customFormat="1" ht="13.5" hidden="1" customHeight="1" x14ac:dyDescent="0.25">
      <c r="A381" s="62"/>
      <c r="B381" s="187"/>
      <c r="C381" s="663"/>
      <c r="D381" s="187"/>
      <c r="E381" s="64"/>
      <c r="F381" s="187"/>
      <c r="G381" s="64"/>
      <c r="H381" s="187"/>
      <c r="I381" s="64"/>
      <c r="J381" s="187"/>
      <c r="K381" s="64"/>
      <c r="L381" s="187"/>
      <c r="M381" s="64"/>
      <c r="N381" s="187"/>
      <c r="O381" s="64"/>
      <c r="P381" s="187"/>
      <c r="Q381" s="64"/>
      <c r="R381" s="187"/>
      <c r="S381" s="65"/>
    </row>
    <row r="382" spans="1:19" hidden="1" x14ac:dyDescent="0.25">
      <c r="A382" s="165"/>
      <c r="B382" s="64"/>
      <c r="C382" s="733"/>
      <c r="D382" s="733"/>
      <c r="E382" s="733"/>
      <c r="F382" s="733"/>
      <c r="G382" s="733"/>
      <c r="H382" s="733"/>
      <c r="I382" s="733"/>
      <c r="J382" s="733"/>
      <c r="K382" s="733"/>
      <c r="L382" s="733"/>
      <c r="M382" s="733"/>
      <c r="N382" s="733"/>
      <c r="O382" s="733"/>
      <c r="P382" s="733"/>
      <c r="Q382" s="733"/>
      <c r="R382" s="733"/>
      <c r="S382" s="170"/>
    </row>
    <row r="383" spans="1:19" hidden="1" x14ac:dyDescent="0.25">
      <c r="A383" s="165"/>
      <c r="B383" s="64"/>
      <c r="C383" s="64"/>
      <c r="D383" s="64"/>
      <c r="E383" s="663"/>
      <c r="F383" s="663"/>
      <c r="G383" s="663"/>
      <c r="H383" s="663"/>
      <c r="I383" s="663"/>
      <c r="J383" s="663"/>
      <c r="K383" s="663"/>
      <c r="L383" s="663"/>
      <c r="M383" s="663"/>
      <c r="N383" s="663"/>
      <c r="O383" s="663"/>
      <c r="P383" s="663"/>
      <c r="Q383" s="663"/>
      <c r="R383" s="663"/>
      <c r="S383" s="170"/>
    </row>
    <row r="384" spans="1:19" hidden="1" x14ac:dyDescent="0.25">
      <c r="A384" s="165"/>
      <c r="B384" s="64"/>
      <c r="C384" s="733"/>
      <c r="D384" s="733"/>
      <c r="E384" s="733"/>
      <c r="F384" s="733"/>
      <c r="G384" s="733"/>
      <c r="H384" s="733"/>
      <c r="I384" s="733"/>
      <c r="J384" s="733"/>
      <c r="K384" s="733"/>
      <c r="L384" s="733"/>
      <c r="M384" s="733"/>
      <c r="N384" s="733"/>
      <c r="O384" s="733"/>
      <c r="P384" s="733"/>
      <c r="Q384" s="733"/>
      <c r="R384" s="733"/>
      <c r="S384" s="170"/>
    </row>
    <row r="385" spans="1:19" hidden="1" x14ac:dyDescent="0.25">
      <c r="A385" s="165"/>
      <c r="B385" s="64"/>
      <c r="C385" s="733"/>
      <c r="D385" s="733"/>
      <c r="E385" s="733"/>
      <c r="F385" s="733"/>
      <c r="G385" s="733"/>
      <c r="H385" s="733"/>
      <c r="I385" s="733"/>
      <c r="J385" s="733"/>
      <c r="K385" s="733"/>
      <c r="L385" s="733"/>
      <c r="M385" s="733"/>
      <c r="N385" s="733"/>
      <c r="O385" s="733"/>
      <c r="P385" s="733"/>
      <c r="Q385" s="733"/>
      <c r="R385" s="733"/>
      <c r="S385" s="170"/>
    </row>
    <row r="386" spans="1:19" hidden="1" x14ac:dyDescent="0.25">
      <c r="A386" s="165"/>
      <c r="B386" s="64"/>
      <c r="C386" s="733"/>
      <c r="D386" s="733"/>
      <c r="E386" s="733"/>
      <c r="F386" s="733"/>
      <c r="G386" s="733"/>
      <c r="H386" s="733"/>
      <c r="I386" s="733"/>
      <c r="J386" s="733"/>
      <c r="K386" s="733"/>
      <c r="L386" s="733"/>
      <c r="M386" s="733"/>
      <c r="N386" s="733"/>
      <c r="O386" s="733"/>
      <c r="P386" s="733"/>
      <c r="Q386" s="733"/>
      <c r="R386" s="733"/>
      <c r="S386" s="170"/>
    </row>
    <row r="387" spans="1:19" s="66" customFormat="1" ht="13.5" hidden="1" customHeight="1" x14ac:dyDescent="0.25">
      <c r="A387" s="62"/>
      <c r="B387" s="187"/>
      <c r="C387" s="187"/>
      <c r="D387" s="187"/>
      <c r="E387" s="64"/>
      <c r="F387" s="187"/>
      <c r="G387" s="64"/>
      <c r="H387" s="187"/>
      <c r="I387" s="64"/>
      <c r="J387" s="187"/>
      <c r="K387" s="64"/>
      <c r="L387" s="187"/>
      <c r="M387" s="64"/>
      <c r="N387" s="187"/>
      <c r="O387" s="64"/>
      <c r="P387" s="187"/>
      <c r="Q387" s="64"/>
      <c r="R387" s="187"/>
      <c r="S387" s="65"/>
    </row>
    <row r="388" spans="1:19" hidden="1" x14ac:dyDescent="0.25">
      <c r="A388" s="165"/>
      <c r="B388" s="64"/>
      <c r="C388" s="663"/>
      <c r="D388" s="663"/>
      <c r="E388" s="663"/>
      <c r="F388" s="663"/>
      <c r="G388" s="663"/>
      <c r="H388" s="663"/>
      <c r="I388" s="663"/>
      <c r="J388" s="663"/>
      <c r="K388" s="663"/>
      <c r="L388" s="663"/>
      <c r="M388" s="663"/>
      <c r="N388" s="663"/>
      <c r="O388" s="663"/>
      <c r="P388" s="663"/>
      <c r="Q388" s="663"/>
      <c r="R388" s="663"/>
      <c r="S388" s="170"/>
    </row>
    <row r="389" spans="1:19" hidden="1" x14ac:dyDescent="0.25">
      <c r="A389" s="165"/>
      <c r="B389" s="64"/>
      <c r="C389" s="663"/>
      <c r="D389" s="663"/>
      <c r="E389" s="663"/>
      <c r="F389" s="663"/>
      <c r="G389" s="663"/>
      <c r="H389" s="663"/>
      <c r="I389" s="663"/>
      <c r="J389" s="663"/>
      <c r="K389" s="663"/>
      <c r="L389" s="663"/>
      <c r="M389" s="663"/>
      <c r="N389" s="663"/>
      <c r="O389" s="663"/>
      <c r="P389" s="663"/>
      <c r="Q389" s="663"/>
      <c r="R389" s="663"/>
      <c r="S389" s="170"/>
    </row>
    <row r="390" spans="1:19" s="66" customFormat="1" ht="13.5" hidden="1" customHeight="1" x14ac:dyDescent="0.25">
      <c r="A390" s="62"/>
      <c r="B390" s="188" t="s">
        <v>615</v>
      </c>
      <c r="C390" s="734" t="b">
        <v>1</v>
      </c>
      <c r="D390" s="734"/>
      <c r="E390" s="734" t="b">
        <v>1</v>
      </c>
      <c r="F390" s="734"/>
      <c r="G390" s="734" t="b">
        <v>1</v>
      </c>
      <c r="H390" s="734"/>
      <c r="I390" s="734" t="b">
        <v>1</v>
      </c>
      <c r="J390" s="734"/>
      <c r="K390" s="734" t="b">
        <v>1</v>
      </c>
      <c r="L390" s="734"/>
      <c r="M390" s="734" t="b">
        <v>1</v>
      </c>
      <c r="N390" s="734"/>
      <c r="O390" s="734" t="b">
        <v>1</v>
      </c>
      <c r="P390" s="734"/>
      <c r="Q390" s="734" t="b">
        <v>1</v>
      </c>
      <c r="R390" s="735"/>
      <c r="S390" s="65"/>
    </row>
    <row r="391" spans="1:19" s="66" customFormat="1" ht="13.5" hidden="1" customHeight="1" x14ac:dyDescent="0.25">
      <c r="A391" s="62"/>
      <c r="B391" s="189"/>
      <c r="C391" s="189" t="b">
        <v>1</v>
      </c>
      <c r="D391" s="189"/>
      <c r="E391" s="662"/>
      <c r="F391" s="662"/>
      <c r="G391" s="662"/>
      <c r="H391" s="662"/>
      <c r="I391" s="662"/>
      <c r="J391" s="662"/>
      <c r="K391" s="662"/>
      <c r="L391" s="662"/>
      <c r="M391" s="662"/>
      <c r="N391" s="662"/>
      <c r="O391" s="662"/>
      <c r="P391" s="662"/>
      <c r="Q391" s="662"/>
      <c r="R391" s="662"/>
      <c r="S391" s="65"/>
    </row>
    <row r="392" spans="1:19" s="66" customFormat="1" ht="13.5" hidden="1" customHeight="1" x14ac:dyDescent="0.25">
      <c r="A392" s="62"/>
      <c r="B392" s="188" t="s">
        <v>616</v>
      </c>
      <c r="C392" s="734" t="b">
        <v>1</v>
      </c>
      <c r="D392" s="734"/>
      <c r="E392" s="734" t="b">
        <v>1</v>
      </c>
      <c r="F392" s="734"/>
      <c r="G392" s="734" t="b">
        <v>1</v>
      </c>
      <c r="H392" s="734"/>
      <c r="I392" s="734" t="b">
        <v>1</v>
      </c>
      <c r="J392" s="734"/>
      <c r="K392" s="734" t="b">
        <v>1</v>
      </c>
      <c r="L392" s="734"/>
      <c r="M392" s="734" t="b">
        <v>1</v>
      </c>
      <c r="N392" s="734"/>
      <c r="O392" s="734" t="b">
        <v>1</v>
      </c>
      <c r="P392" s="734"/>
      <c r="Q392" s="734" t="b">
        <v>1</v>
      </c>
      <c r="R392" s="735"/>
      <c r="S392" s="65"/>
    </row>
    <row r="393" spans="1:19" s="66" customFormat="1" ht="13.5" hidden="1" customHeight="1" x14ac:dyDescent="0.25">
      <c r="A393" s="62"/>
      <c r="B393" s="190"/>
      <c r="C393" s="190" t="b">
        <v>1</v>
      </c>
      <c r="D393" s="190"/>
      <c r="E393" s="663"/>
      <c r="F393" s="663"/>
      <c r="G393" s="663"/>
      <c r="H393" s="663"/>
      <c r="I393" s="663"/>
      <c r="J393" s="663"/>
      <c r="K393" s="663"/>
      <c r="L393" s="663"/>
      <c r="M393" s="663"/>
      <c r="N393" s="663"/>
      <c r="O393" s="663"/>
      <c r="P393" s="663"/>
      <c r="Q393" s="663"/>
      <c r="R393" s="663"/>
      <c r="S393" s="65"/>
    </row>
    <row r="394" spans="1:19" s="66" customFormat="1" hidden="1" x14ac:dyDescent="0.25">
      <c r="A394" s="62"/>
      <c r="B394" s="64" t="s">
        <v>617</v>
      </c>
      <c r="C394" s="733">
        <v>0</v>
      </c>
      <c r="D394" s="733"/>
      <c r="E394" s="733">
        <v>0</v>
      </c>
      <c r="F394" s="733"/>
      <c r="G394" s="733">
        <v>0</v>
      </c>
      <c r="H394" s="733"/>
      <c r="I394" s="733">
        <v>0</v>
      </c>
      <c r="J394" s="733"/>
      <c r="K394" s="733">
        <v>0</v>
      </c>
      <c r="L394" s="733"/>
      <c r="M394" s="733">
        <v>0</v>
      </c>
      <c r="N394" s="733"/>
      <c r="O394" s="733">
        <v>0</v>
      </c>
      <c r="P394" s="733"/>
      <c r="Q394" s="733">
        <v>0</v>
      </c>
      <c r="R394" s="733"/>
      <c r="S394" s="65"/>
    </row>
    <row r="395" spans="1:19" s="66" customFormat="1" ht="13" hidden="1" x14ac:dyDescent="0.3">
      <c r="A395" s="62"/>
      <c r="B395" s="188" t="s">
        <v>618</v>
      </c>
      <c r="C395" s="191">
        <v>0</v>
      </c>
      <c r="D395" s="192" t="s">
        <v>73</v>
      </c>
      <c r="E395" s="63"/>
      <c r="F395" s="64"/>
      <c r="G395" s="64"/>
      <c r="H395" s="64"/>
      <c r="I395" s="64"/>
      <c r="J395" s="64"/>
      <c r="K395" s="64"/>
      <c r="L395" s="64"/>
      <c r="M395" s="64"/>
      <c r="N395" s="64"/>
      <c r="O395" s="64"/>
      <c r="P395" s="64"/>
      <c r="Q395" s="64"/>
      <c r="R395" s="64"/>
      <c r="S395" s="65"/>
    </row>
    <row r="396" spans="1:19" s="66" customFormat="1" hidden="1" x14ac:dyDescent="0.25">
      <c r="A396" s="62"/>
      <c r="B396" s="64" t="s">
        <v>619</v>
      </c>
      <c r="C396" s="733">
        <v>0</v>
      </c>
      <c r="D396" s="733"/>
      <c r="E396" s="733">
        <v>0</v>
      </c>
      <c r="F396" s="733"/>
      <c r="G396" s="733">
        <v>0</v>
      </c>
      <c r="H396" s="733"/>
      <c r="I396" s="733">
        <v>0</v>
      </c>
      <c r="J396" s="733"/>
      <c r="K396" s="733">
        <v>0</v>
      </c>
      <c r="L396" s="733"/>
      <c r="M396" s="733">
        <v>0</v>
      </c>
      <c r="N396" s="733"/>
      <c r="O396" s="733">
        <v>0</v>
      </c>
      <c r="P396" s="733"/>
      <c r="Q396" s="733">
        <v>0</v>
      </c>
      <c r="R396" s="733"/>
      <c r="S396" s="65"/>
    </row>
    <row r="397" spans="1:19" s="66" customFormat="1" ht="13.5" hidden="1" customHeight="1" x14ac:dyDescent="0.3">
      <c r="A397" s="62"/>
      <c r="B397" s="188" t="s">
        <v>620</v>
      </c>
      <c r="C397" s="191">
        <v>0</v>
      </c>
      <c r="D397" s="192" t="s">
        <v>73</v>
      </c>
      <c r="E397" s="63"/>
      <c r="F397" s="64"/>
      <c r="G397" s="64"/>
      <c r="H397" s="64"/>
      <c r="I397" s="64"/>
      <c r="J397" s="64"/>
      <c r="K397" s="64"/>
      <c r="L397" s="64"/>
      <c r="M397" s="64"/>
      <c r="N397" s="64"/>
      <c r="O397" s="64"/>
      <c r="P397" s="64"/>
      <c r="Q397" s="64"/>
      <c r="R397" s="64"/>
      <c r="S397" s="65"/>
    </row>
    <row r="398" spans="1:19" hidden="1" x14ac:dyDescent="0.25">
      <c r="A398" s="165"/>
      <c r="B398" s="64" t="s">
        <v>621</v>
      </c>
      <c r="C398" s="733">
        <v>0</v>
      </c>
      <c r="D398" s="733"/>
      <c r="E398" s="733">
        <v>0</v>
      </c>
      <c r="F398" s="733"/>
      <c r="G398" s="733">
        <v>0</v>
      </c>
      <c r="H398" s="733"/>
      <c r="I398" s="733">
        <v>0</v>
      </c>
      <c r="J398" s="733"/>
      <c r="K398" s="733">
        <v>0</v>
      </c>
      <c r="L398" s="733"/>
      <c r="M398" s="733">
        <v>0</v>
      </c>
      <c r="N398" s="733"/>
      <c r="O398" s="733">
        <v>0</v>
      </c>
      <c r="P398" s="733"/>
      <c r="Q398" s="733">
        <v>0</v>
      </c>
      <c r="R398" s="733"/>
      <c r="S398" s="170"/>
    </row>
    <row r="399" spans="1:19" s="66" customFormat="1" ht="13" hidden="1" x14ac:dyDescent="0.3">
      <c r="A399" s="62"/>
      <c r="B399" s="188" t="s">
        <v>622</v>
      </c>
      <c r="C399" s="191">
        <v>0</v>
      </c>
      <c r="D399" s="192" t="s">
        <v>73</v>
      </c>
      <c r="E399" s="63"/>
      <c r="F399" s="64"/>
      <c r="G399" s="64"/>
      <c r="H399" s="64"/>
      <c r="I399" s="64"/>
      <c r="J399" s="64"/>
      <c r="K399" s="64"/>
      <c r="L399" s="64"/>
      <c r="M399" s="64"/>
      <c r="N399" s="64"/>
      <c r="O399" s="64"/>
      <c r="P399" s="64"/>
      <c r="Q399" s="64"/>
      <c r="R399" s="64"/>
      <c r="S399" s="65"/>
    </row>
    <row r="400" spans="1:19" s="66" customFormat="1" ht="13.5" hidden="1" customHeight="1" x14ac:dyDescent="0.25">
      <c r="A400" s="62"/>
      <c r="B400" s="64"/>
      <c r="C400" s="64">
        <v>0</v>
      </c>
      <c r="D400" s="64"/>
      <c r="E400" s="663"/>
      <c r="F400" s="663"/>
      <c r="G400" s="64"/>
      <c r="H400" s="64"/>
      <c r="I400" s="64"/>
      <c r="J400" s="64"/>
      <c r="K400" s="64"/>
      <c r="L400" s="64"/>
      <c r="M400" s="64"/>
      <c r="N400" s="64"/>
      <c r="O400" s="64"/>
      <c r="P400" s="64"/>
      <c r="Q400" s="64"/>
      <c r="R400" s="64"/>
      <c r="S400" s="65"/>
    </row>
    <row r="401" spans="1:30" s="66" customFormat="1" hidden="1" x14ac:dyDescent="0.25">
      <c r="A401" s="62"/>
      <c r="B401" s="188" t="s">
        <v>623</v>
      </c>
      <c r="C401" s="734" t="b">
        <v>1</v>
      </c>
      <c r="D401" s="734"/>
      <c r="E401" s="734" t="b">
        <v>1</v>
      </c>
      <c r="F401" s="734"/>
      <c r="G401" s="734" t="b">
        <v>1</v>
      </c>
      <c r="H401" s="734"/>
      <c r="I401" s="734" t="b">
        <v>1</v>
      </c>
      <c r="J401" s="734"/>
      <c r="K401" s="734" t="b">
        <v>1</v>
      </c>
      <c r="L401" s="734"/>
      <c r="M401" s="734" t="b">
        <v>1</v>
      </c>
      <c r="N401" s="734"/>
      <c r="O401" s="734" t="b">
        <v>1</v>
      </c>
      <c r="P401" s="734"/>
      <c r="Q401" s="734" t="b">
        <v>1</v>
      </c>
      <c r="R401" s="735"/>
      <c r="S401" s="65"/>
    </row>
    <row r="402" spans="1:30" s="66" customFormat="1" hidden="1" x14ac:dyDescent="0.25">
      <c r="A402" s="62"/>
      <c r="B402" s="64"/>
      <c r="C402" s="64" t="b">
        <v>1</v>
      </c>
      <c r="D402" s="64"/>
      <c r="E402" s="64"/>
      <c r="F402" s="64"/>
      <c r="G402" s="64"/>
      <c r="H402" s="64"/>
      <c r="I402" s="64"/>
      <c r="J402" s="64"/>
      <c r="K402" s="64"/>
      <c r="L402" s="64"/>
      <c r="M402" s="64"/>
      <c r="N402" s="64"/>
      <c r="O402" s="64"/>
      <c r="P402" s="64"/>
      <c r="Q402" s="64"/>
      <c r="R402" s="64"/>
      <c r="S402" s="65"/>
    </row>
    <row r="403" spans="1:30" ht="13" thickBot="1" x14ac:dyDescent="0.3">
      <c r="A403" s="59"/>
      <c r="C403" s="46"/>
      <c r="S403" s="61"/>
    </row>
    <row r="404" spans="1:30" ht="16" thickBot="1" x14ac:dyDescent="0.3">
      <c r="A404" s="736" t="s">
        <v>266</v>
      </c>
      <c r="B404" s="737"/>
      <c r="C404" s="737"/>
      <c r="D404" s="737"/>
      <c r="E404" s="737"/>
      <c r="F404" s="737"/>
      <c r="G404" s="737"/>
      <c r="H404" s="737"/>
      <c r="I404" s="737"/>
      <c r="J404" s="737"/>
      <c r="K404" s="737"/>
      <c r="L404" s="737"/>
      <c r="M404" s="737"/>
      <c r="N404" s="737"/>
      <c r="O404" s="737"/>
      <c r="P404" s="737"/>
      <c r="Q404" s="737"/>
      <c r="R404" s="737"/>
      <c r="S404" s="738"/>
    </row>
    <row r="405" spans="1:30" ht="13.5" thickBot="1" x14ac:dyDescent="0.35">
      <c r="A405" s="59"/>
      <c r="B405" s="71"/>
      <c r="S405" s="193"/>
    </row>
    <row r="406" spans="1:30" ht="16" thickBot="1" x14ac:dyDescent="0.4">
      <c r="A406" s="59"/>
      <c r="B406" s="194" t="s">
        <v>267</v>
      </c>
      <c r="C406" s="739" t="b">
        <f>$C$80</f>
        <v>1</v>
      </c>
      <c r="D406" s="740"/>
      <c r="E406" s="740"/>
      <c r="F406" s="740"/>
      <c r="G406" s="740"/>
      <c r="H406" s="740"/>
      <c r="I406" s="740"/>
      <c r="J406" s="740"/>
      <c r="K406" s="740"/>
      <c r="L406" s="740"/>
      <c r="M406" s="740"/>
      <c r="N406" s="740"/>
      <c r="O406" s="740"/>
      <c r="P406" s="740"/>
      <c r="Q406" s="740"/>
      <c r="R406" s="741"/>
      <c r="S406" s="94"/>
    </row>
    <row r="407" spans="1:30" ht="16.5" customHeight="1" thickBot="1" x14ac:dyDescent="0.3">
      <c r="A407" s="59"/>
      <c r="B407" s="195"/>
      <c r="C407" s="729" t="str">
        <f>C$82</f>
        <v>Loop1</v>
      </c>
      <c r="D407" s="730"/>
      <c r="E407" s="730" t="str">
        <f>E$82</f>
        <v>Stub1_2</v>
      </c>
      <c r="F407" s="731"/>
      <c r="G407" s="729" t="str">
        <f>G$82</f>
        <v>Stub2_1</v>
      </c>
      <c r="H407" s="730"/>
      <c r="I407" s="730" t="str">
        <f>I$82</f>
        <v>Stub2_2</v>
      </c>
      <c r="J407" s="731"/>
      <c r="K407" s="729" t="str">
        <f>K$82</f>
        <v>Loop3</v>
      </c>
      <c r="L407" s="730"/>
      <c r="M407" s="730" t="str">
        <f>M$82</f>
        <v>Stub3_2</v>
      </c>
      <c r="N407" s="731"/>
      <c r="O407" s="729" t="str">
        <f>O$82</f>
        <v>Loop4</v>
      </c>
      <c r="P407" s="730"/>
      <c r="Q407" s="730" t="str">
        <f>Q$82</f>
        <v>Stub4_2</v>
      </c>
      <c r="R407" s="731"/>
      <c r="S407" s="61"/>
    </row>
    <row r="408" spans="1:30" x14ac:dyDescent="0.25">
      <c r="A408" s="59"/>
      <c r="B408" s="196" t="s">
        <v>624</v>
      </c>
      <c r="C408" s="197">
        <v>1</v>
      </c>
      <c r="D408" s="198" t="s">
        <v>268</v>
      </c>
      <c r="E408" s="199">
        <v>1</v>
      </c>
      <c r="F408" s="138" t="s">
        <v>268</v>
      </c>
      <c r="G408" s="197">
        <v>1</v>
      </c>
      <c r="H408" s="198" t="s">
        <v>268</v>
      </c>
      <c r="I408" s="199">
        <v>1</v>
      </c>
      <c r="J408" s="138" t="s">
        <v>268</v>
      </c>
      <c r="K408" s="197">
        <v>1</v>
      </c>
      <c r="L408" s="198" t="s">
        <v>268</v>
      </c>
      <c r="M408" s="199">
        <v>1</v>
      </c>
      <c r="N408" s="138" t="s">
        <v>268</v>
      </c>
      <c r="O408" s="197">
        <v>1</v>
      </c>
      <c r="P408" s="198" t="s">
        <v>268</v>
      </c>
      <c r="Q408" s="199">
        <v>1</v>
      </c>
      <c r="R408" s="138" t="s">
        <v>268</v>
      </c>
      <c r="S408" s="200"/>
      <c r="AD408" s="46"/>
    </row>
    <row r="409" spans="1:30" ht="12.75" customHeight="1" x14ac:dyDescent="0.25">
      <c r="A409" s="59"/>
      <c r="B409" s="201" t="s">
        <v>625</v>
      </c>
      <c r="C409" s="197">
        <v>1</v>
      </c>
      <c r="D409" s="155" t="s">
        <v>268</v>
      </c>
      <c r="E409" s="202">
        <v>1</v>
      </c>
      <c r="F409" s="138" t="s">
        <v>268</v>
      </c>
      <c r="G409" s="197">
        <v>1</v>
      </c>
      <c r="H409" s="155" t="s">
        <v>268</v>
      </c>
      <c r="I409" s="202">
        <v>1</v>
      </c>
      <c r="J409" s="138" t="s">
        <v>268</v>
      </c>
      <c r="K409" s="197">
        <v>1</v>
      </c>
      <c r="L409" s="155" t="s">
        <v>268</v>
      </c>
      <c r="M409" s="202">
        <v>1</v>
      </c>
      <c r="N409" s="138" t="s">
        <v>268</v>
      </c>
      <c r="O409" s="197">
        <v>1</v>
      </c>
      <c r="P409" s="155" t="s">
        <v>268</v>
      </c>
      <c r="Q409" s="202">
        <v>1</v>
      </c>
      <c r="R409" s="138" t="s">
        <v>268</v>
      </c>
      <c r="S409" s="200"/>
      <c r="AD409" s="46"/>
    </row>
    <row r="410" spans="1:30" x14ac:dyDescent="0.25">
      <c r="A410" s="59"/>
      <c r="B410" s="203" t="s">
        <v>269</v>
      </c>
      <c r="C410" s="204">
        <v>70</v>
      </c>
      <c r="D410" s="155" t="s">
        <v>270</v>
      </c>
      <c r="E410" s="205">
        <v>70</v>
      </c>
      <c r="F410" s="138" t="s">
        <v>270</v>
      </c>
      <c r="G410" s="204">
        <v>70</v>
      </c>
      <c r="H410" s="155" t="s">
        <v>270</v>
      </c>
      <c r="I410" s="205">
        <v>70</v>
      </c>
      <c r="J410" s="138" t="s">
        <v>270</v>
      </c>
      <c r="K410" s="204">
        <v>70</v>
      </c>
      <c r="L410" s="155" t="s">
        <v>270</v>
      </c>
      <c r="M410" s="205">
        <v>70</v>
      </c>
      <c r="N410" s="138" t="s">
        <v>270</v>
      </c>
      <c r="O410" s="204">
        <v>70</v>
      </c>
      <c r="P410" s="155" t="s">
        <v>270</v>
      </c>
      <c r="Q410" s="205">
        <v>70</v>
      </c>
      <c r="R410" s="138" t="s">
        <v>270</v>
      </c>
      <c r="S410" s="61"/>
    </row>
    <row r="411" spans="1:30" ht="13" thickBot="1" x14ac:dyDescent="0.3">
      <c r="A411" s="59"/>
      <c r="B411" s="206" t="s">
        <v>271</v>
      </c>
      <c r="C411" s="207">
        <v>70</v>
      </c>
      <c r="D411" s="186" t="s">
        <v>272</v>
      </c>
      <c r="E411" s="208">
        <v>70</v>
      </c>
      <c r="F411" s="185" t="s">
        <v>272</v>
      </c>
      <c r="G411" s="207">
        <v>70</v>
      </c>
      <c r="H411" s="186" t="s">
        <v>272</v>
      </c>
      <c r="I411" s="208">
        <v>70</v>
      </c>
      <c r="J411" s="185" t="s">
        <v>272</v>
      </c>
      <c r="K411" s="207">
        <v>70</v>
      </c>
      <c r="L411" s="186" t="s">
        <v>272</v>
      </c>
      <c r="M411" s="208">
        <v>70</v>
      </c>
      <c r="N411" s="185" t="s">
        <v>272</v>
      </c>
      <c r="O411" s="207">
        <v>70</v>
      </c>
      <c r="P411" s="186" t="s">
        <v>272</v>
      </c>
      <c r="Q411" s="208">
        <v>70</v>
      </c>
      <c r="R411" s="185" t="s">
        <v>272</v>
      </c>
      <c r="S411" s="61"/>
    </row>
    <row r="412" spans="1:30" ht="13" thickBot="1" x14ac:dyDescent="0.3">
      <c r="A412" s="59"/>
      <c r="B412" s="209"/>
      <c r="C412" s="348"/>
      <c r="D412" s="209"/>
      <c r="E412" s="209"/>
      <c r="F412" s="209"/>
      <c r="G412" s="209"/>
      <c r="H412" s="209"/>
      <c r="I412" s="209"/>
      <c r="J412" s="209"/>
      <c r="K412" s="209"/>
      <c r="L412" s="209"/>
      <c r="M412" s="209"/>
      <c r="N412" s="209"/>
      <c r="O412" s="209"/>
      <c r="P412" s="209"/>
      <c r="Q412" s="209"/>
      <c r="R412" s="209"/>
      <c r="S412" s="61"/>
    </row>
    <row r="413" spans="1:30" s="66" customFormat="1" ht="13.5" hidden="1" customHeight="1" x14ac:dyDescent="0.3">
      <c r="A413" s="62"/>
      <c r="B413" s="63"/>
      <c r="C413" s="63"/>
      <c r="D413" s="63"/>
      <c r="E413" s="63"/>
      <c r="F413" s="210"/>
      <c r="G413" s="210"/>
      <c r="H413" s="210"/>
      <c r="I413" s="210"/>
      <c r="J413" s="210"/>
      <c r="K413" s="210"/>
      <c r="L413" s="210"/>
      <c r="M413" s="210"/>
      <c r="N413" s="210"/>
      <c r="O413" s="210"/>
      <c r="P413" s="210"/>
      <c r="Q413" s="210"/>
      <c r="R413" s="210"/>
      <c r="S413" s="65"/>
    </row>
    <row r="414" spans="1:30" s="66" customFormat="1" ht="13.5" hidden="1" customHeight="1" x14ac:dyDescent="0.3">
      <c r="A414" s="62"/>
      <c r="B414" s="70" t="s">
        <v>626</v>
      </c>
      <c r="C414" s="733"/>
      <c r="D414" s="733"/>
      <c r="E414" s="733"/>
      <c r="F414" s="733"/>
      <c r="G414" s="733"/>
      <c r="H414" s="733"/>
      <c r="I414" s="733"/>
      <c r="J414" s="733"/>
      <c r="K414" s="733"/>
      <c r="L414" s="733"/>
      <c r="M414" s="733"/>
      <c r="N414" s="733"/>
      <c r="O414" s="733"/>
      <c r="P414" s="733"/>
      <c r="Q414" s="733"/>
      <c r="R414" s="733"/>
      <c r="S414" s="65"/>
    </row>
    <row r="415" spans="1:30" s="66" customFormat="1" ht="13.5" hidden="1" customHeight="1" x14ac:dyDescent="0.25">
      <c r="A415" s="62"/>
      <c r="B415" s="76" t="s">
        <v>975</v>
      </c>
      <c r="C415" s="733"/>
      <c r="D415" s="733"/>
      <c r="E415" s="733"/>
      <c r="F415" s="733"/>
      <c r="G415" s="733"/>
      <c r="H415" s="733"/>
      <c r="I415" s="733"/>
      <c r="J415" s="733"/>
      <c r="K415" s="733"/>
      <c r="L415" s="733"/>
      <c r="M415" s="733"/>
      <c r="N415" s="733"/>
      <c r="O415" s="733"/>
      <c r="P415" s="733"/>
      <c r="Q415" s="733"/>
      <c r="R415" s="733"/>
      <c r="S415" s="65"/>
    </row>
    <row r="416" spans="1:30" s="66" customFormat="1" ht="13.5" hidden="1" customHeight="1" x14ac:dyDescent="0.25">
      <c r="A416" s="62"/>
      <c r="B416" s="64"/>
      <c r="C416" s="733"/>
      <c r="D416" s="733"/>
      <c r="E416" s="733"/>
      <c r="F416" s="733"/>
      <c r="G416" s="733"/>
      <c r="H416" s="733"/>
      <c r="I416" s="733"/>
      <c r="J416" s="733"/>
      <c r="K416" s="733"/>
      <c r="L416" s="733"/>
      <c r="M416" s="733"/>
      <c r="N416" s="733"/>
      <c r="O416" s="733"/>
      <c r="P416" s="733"/>
      <c r="Q416" s="733"/>
      <c r="R416" s="733"/>
      <c r="S416" s="65"/>
    </row>
    <row r="417" spans="1:19" s="66" customFormat="1" ht="13.5" hidden="1" customHeight="1" x14ac:dyDescent="0.25">
      <c r="A417" s="62"/>
      <c r="B417" s="64"/>
      <c r="C417" s="733"/>
      <c r="D417" s="733"/>
      <c r="E417" s="733"/>
      <c r="F417" s="733"/>
      <c r="G417" s="733"/>
      <c r="H417" s="733"/>
      <c r="I417" s="733"/>
      <c r="J417" s="733"/>
      <c r="K417" s="733"/>
      <c r="L417" s="733"/>
      <c r="M417" s="733"/>
      <c r="N417" s="733"/>
      <c r="O417" s="733"/>
      <c r="P417" s="733"/>
      <c r="Q417" s="733"/>
      <c r="R417" s="733"/>
      <c r="S417" s="65"/>
    </row>
    <row r="418" spans="1:19" s="66" customFormat="1" ht="13.5" hidden="1" customHeight="1" x14ac:dyDescent="0.25">
      <c r="A418" s="62"/>
      <c r="B418" s="64"/>
      <c r="C418" s="663"/>
      <c r="D418" s="663"/>
      <c r="E418" s="663"/>
      <c r="F418" s="663"/>
      <c r="G418" s="663"/>
      <c r="H418" s="663"/>
      <c r="I418" s="663"/>
      <c r="J418" s="663"/>
      <c r="K418" s="663"/>
      <c r="L418" s="663"/>
      <c r="M418" s="663"/>
      <c r="N418" s="663"/>
      <c r="O418" s="663"/>
      <c r="P418" s="663"/>
      <c r="Q418" s="663"/>
      <c r="R418" s="663"/>
      <c r="S418" s="65"/>
    </row>
    <row r="419" spans="1:19" s="66" customFormat="1" ht="13.5" hidden="1" customHeight="1" x14ac:dyDescent="0.3">
      <c r="A419" s="62"/>
      <c r="B419" s="63"/>
      <c r="C419" s="63"/>
      <c r="D419" s="63"/>
      <c r="E419" s="663"/>
      <c r="F419" s="663"/>
      <c r="G419" s="663"/>
      <c r="H419" s="663"/>
      <c r="I419" s="663"/>
      <c r="J419" s="663"/>
      <c r="K419" s="663"/>
      <c r="L419" s="663"/>
      <c r="M419" s="663"/>
      <c r="N419" s="663"/>
      <c r="O419" s="663"/>
      <c r="P419" s="663"/>
      <c r="Q419" s="663"/>
      <c r="R419" s="663"/>
      <c r="S419" s="65"/>
    </row>
    <row r="420" spans="1:19" s="66" customFormat="1" ht="13.5" hidden="1" customHeight="1" x14ac:dyDescent="0.25">
      <c r="A420" s="62"/>
      <c r="B420" s="211"/>
      <c r="C420" s="64"/>
      <c r="D420" s="64"/>
      <c r="E420" s="663"/>
      <c r="F420" s="663"/>
      <c r="G420" s="663"/>
      <c r="H420" s="663"/>
      <c r="I420" s="663"/>
      <c r="J420" s="663"/>
      <c r="K420" s="663"/>
      <c r="L420" s="663"/>
      <c r="M420" s="663"/>
      <c r="N420" s="663"/>
      <c r="O420" s="663"/>
      <c r="P420" s="663"/>
      <c r="Q420" s="663"/>
      <c r="R420" s="663"/>
      <c r="S420" s="65"/>
    </row>
    <row r="421" spans="1:19" s="66" customFormat="1" ht="13.5" hidden="1" customHeight="1" x14ac:dyDescent="0.25">
      <c r="A421" s="62"/>
      <c r="B421" s="211"/>
      <c r="C421" s="64"/>
      <c r="D421" s="64"/>
      <c r="E421" s="663"/>
      <c r="F421" s="663"/>
      <c r="G421" s="663"/>
      <c r="H421" s="663"/>
      <c r="I421" s="663"/>
      <c r="J421" s="663"/>
      <c r="K421" s="663"/>
      <c r="L421" s="663"/>
      <c r="M421" s="663"/>
      <c r="N421" s="663"/>
      <c r="O421" s="663"/>
      <c r="P421" s="663"/>
      <c r="Q421" s="663"/>
      <c r="R421" s="663"/>
      <c r="S421" s="65"/>
    </row>
    <row r="422" spans="1:19" s="66" customFormat="1" ht="13.5" hidden="1" customHeight="1" x14ac:dyDescent="0.25">
      <c r="A422" s="62"/>
      <c r="B422" s="64"/>
      <c r="C422" s="663"/>
      <c r="D422" s="663"/>
      <c r="E422" s="663"/>
      <c r="F422" s="663"/>
      <c r="G422" s="663"/>
      <c r="H422" s="663"/>
      <c r="I422" s="663"/>
      <c r="J422" s="663"/>
      <c r="K422" s="663"/>
      <c r="L422" s="663"/>
      <c r="M422" s="663"/>
      <c r="N422" s="663"/>
      <c r="O422" s="663"/>
      <c r="P422" s="663"/>
      <c r="Q422" s="663"/>
      <c r="R422" s="663"/>
      <c r="S422" s="65"/>
    </row>
    <row r="423" spans="1:19" s="66" customFormat="1" ht="13.5" hidden="1" customHeight="1" x14ac:dyDescent="0.25">
      <c r="A423" s="62"/>
      <c r="B423" s="64"/>
      <c r="C423" s="663"/>
      <c r="D423" s="663"/>
      <c r="E423" s="663"/>
      <c r="F423" s="663"/>
      <c r="G423" s="663"/>
      <c r="H423" s="663"/>
      <c r="I423" s="663"/>
      <c r="J423" s="663"/>
      <c r="K423" s="663"/>
      <c r="L423" s="663"/>
      <c r="M423" s="663"/>
      <c r="N423" s="663"/>
      <c r="O423" s="663"/>
      <c r="P423" s="663"/>
      <c r="Q423" s="663"/>
      <c r="R423" s="663"/>
      <c r="S423" s="65"/>
    </row>
    <row r="424" spans="1:19" s="66" customFormat="1" ht="13.5" hidden="1" customHeight="1" x14ac:dyDescent="0.25">
      <c r="A424" s="62"/>
      <c r="B424" s="64"/>
      <c r="C424" s="663"/>
      <c r="D424" s="663"/>
      <c r="E424" s="663"/>
      <c r="F424" s="663"/>
      <c r="G424" s="663"/>
      <c r="H424" s="663"/>
      <c r="I424" s="663"/>
      <c r="J424" s="663"/>
      <c r="K424" s="663"/>
      <c r="L424" s="663"/>
      <c r="M424" s="663"/>
      <c r="N424" s="663"/>
      <c r="O424" s="663"/>
      <c r="P424" s="663"/>
      <c r="Q424" s="663"/>
      <c r="R424" s="663"/>
      <c r="S424" s="65"/>
    </row>
    <row r="425" spans="1:19" s="66" customFormat="1" ht="13.5" hidden="1" customHeight="1" x14ac:dyDescent="0.25">
      <c r="A425" s="62"/>
      <c r="B425" s="64"/>
      <c r="C425" s="663"/>
      <c r="D425" s="663"/>
      <c r="E425" s="663"/>
      <c r="F425" s="663"/>
      <c r="G425" s="663"/>
      <c r="H425" s="663"/>
      <c r="I425" s="663"/>
      <c r="J425" s="663"/>
      <c r="K425" s="663"/>
      <c r="L425" s="663"/>
      <c r="M425" s="663"/>
      <c r="N425" s="663"/>
      <c r="O425" s="663"/>
      <c r="P425" s="663"/>
      <c r="Q425" s="663"/>
      <c r="R425" s="663"/>
      <c r="S425" s="65"/>
    </row>
    <row r="426" spans="1:19" s="66" customFormat="1" ht="13.5" hidden="1" customHeight="1" x14ac:dyDescent="0.25">
      <c r="A426" s="62"/>
      <c r="B426" s="64"/>
      <c r="C426" s="663"/>
      <c r="D426" s="663"/>
      <c r="E426" s="663"/>
      <c r="F426" s="663"/>
      <c r="G426" s="663"/>
      <c r="H426" s="663"/>
      <c r="I426" s="663"/>
      <c r="J426" s="663"/>
      <c r="K426" s="663"/>
      <c r="L426" s="663"/>
      <c r="M426" s="663"/>
      <c r="N426" s="663"/>
      <c r="O426" s="663"/>
      <c r="P426" s="663"/>
      <c r="Q426" s="663"/>
      <c r="R426" s="663"/>
      <c r="S426" s="65"/>
    </row>
    <row r="427" spans="1:19" s="66" customFormat="1" ht="13.5" hidden="1" customHeight="1" x14ac:dyDescent="0.25">
      <c r="A427" s="62"/>
      <c r="B427" s="64"/>
      <c r="C427" s="663"/>
      <c r="D427" s="663"/>
      <c r="E427" s="663"/>
      <c r="F427" s="663"/>
      <c r="G427" s="663"/>
      <c r="H427" s="663"/>
      <c r="I427" s="663"/>
      <c r="J427" s="663"/>
      <c r="K427" s="663"/>
      <c r="L427" s="663"/>
      <c r="M427" s="663"/>
      <c r="N427" s="663"/>
      <c r="O427" s="663"/>
      <c r="P427" s="663"/>
      <c r="Q427" s="663"/>
      <c r="R427" s="663"/>
      <c r="S427" s="65"/>
    </row>
    <row r="428" spans="1:19" s="66" customFormat="1" ht="13.5" hidden="1" customHeight="1" x14ac:dyDescent="0.25">
      <c r="A428" s="62"/>
      <c r="B428" s="64"/>
      <c r="C428" s="663"/>
      <c r="D428" s="663"/>
      <c r="E428" s="663"/>
      <c r="F428" s="663"/>
      <c r="G428" s="663"/>
      <c r="H428" s="663"/>
      <c r="I428" s="663"/>
      <c r="J428" s="663"/>
      <c r="K428" s="663"/>
      <c r="L428" s="663"/>
      <c r="M428" s="663"/>
      <c r="N428" s="663"/>
      <c r="O428" s="663"/>
      <c r="P428" s="663"/>
      <c r="Q428" s="663"/>
      <c r="R428" s="663"/>
      <c r="S428" s="65"/>
    </row>
    <row r="429" spans="1:19" s="66" customFormat="1" ht="13.5" hidden="1" customHeight="1" x14ac:dyDescent="0.25">
      <c r="A429" s="62"/>
      <c r="B429" s="64"/>
      <c r="C429" s="663"/>
      <c r="D429" s="663"/>
      <c r="E429" s="663"/>
      <c r="F429" s="663"/>
      <c r="G429" s="663"/>
      <c r="H429" s="663"/>
      <c r="I429" s="663"/>
      <c r="J429" s="663"/>
      <c r="K429" s="663"/>
      <c r="L429" s="663"/>
      <c r="M429" s="663"/>
      <c r="N429" s="663"/>
      <c r="O429" s="663"/>
      <c r="P429" s="663"/>
      <c r="Q429" s="663"/>
      <c r="R429" s="663"/>
      <c r="S429" s="65"/>
    </row>
    <row r="430" spans="1:19" s="66" customFormat="1" ht="13.5" hidden="1" customHeight="1" x14ac:dyDescent="0.3">
      <c r="A430" s="62"/>
      <c r="B430" s="64"/>
      <c r="C430" s="70" t="s">
        <v>627</v>
      </c>
      <c r="D430" s="663"/>
      <c r="E430" s="70" t="s">
        <v>627</v>
      </c>
      <c r="F430" s="663"/>
      <c r="G430" s="70" t="s">
        <v>627</v>
      </c>
      <c r="H430" s="663"/>
      <c r="I430" s="70" t="s">
        <v>627</v>
      </c>
      <c r="J430" s="663"/>
      <c r="K430" s="70" t="s">
        <v>627</v>
      </c>
      <c r="L430" s="663"/>
      <c r="M430" s="70" t="s">
        <v>627</v>
      </c>
      <c r="N430" s="663"/>
      <c r="O430" s="70" t="s">
        <v>627</v>
      </c>
      <c r="P430" s="663"/>
      <c r="Q430" s="70" t="s">
        <v>627</v>
      </c>
      <c r="R430" s="663"/>
      <c r="S430" s="65"/>
    </row>
    <row r="431" spans="1:19" s="66" customFormat="1" ht="13.5" hidden="1" customHeight="1" x14ac:dyDescent="0.25">
      <c r="A431" s="62"/>
      <c r="B431" s="64"/>
      <c r="C431" s="76" t="s">
        <v>976</v>
      </c>
      <c r="D431" s="663"/>
      <c r="E431" s="76" t="s">
        <v>976</v>
      </c>
      <c r="F431" s="663"/>
      <c r="G431" s="76" t="s">
        <v>976</v>
      </c>
      <c r="H431" s="663"/>
      <c r="I431" s="76" t="s">
        <v>976</v>
      </c>
      <c r="J431" s="663"/>
      <c r="K431" s="76" t="s">
        <v>976</v>
      </c>
      <c r="L431" s="663"/>
      <c r="M431" s="76" t="s">
        <v>976</v>
      </c>
      <c r="N431" s="663"/>
      <c r="O431" s="76" t="s">
        <v>976</v>
      </c>
      <c r="P431" s="663"/>
      <c r="Q431" s="76" t="s">
        <v>976</v>
      </c>
      <c r="R431" s="663"/>
      <c r="S431" s="65"/>
    </row>
    <row r="432" spans="1:19" s="66" customFormat="1" ht="13.5" hidden="1" customHeight="1" x14ac:dyDescent="0.25">
      <c r="A432" s="62"/>
      <c r="B432" s="64"/>
      <c r="C432" s="663"/>
      <c r="D432" s="663"/>
      <c r="E432" s="663"/>
      <c r="F432" s="663"/>
      <c r="G432" s="663"/>
      <c r="H432" s="663"/>
      <c r="I432" s="663"/>
      <c r="J432" s="663"/>
      <c r="K432" s="663"/>
      <c r="L432" s="663"/>
      <c r="M432" s="663"/>
      <c r="N432" s="663"/>
      <c r="O432" s="663"/>
      <c r="P432" s="663"/>
      <c r="Q432" s="663"/>
      <c r="R432" s="663"/>
      <c r="S432" s="65"/>
    </row>
    <row r="433" spans="1:30" s="66" customFormat="1" ht="13.5" hidden="1" customHeight="1" x14ac:dyDescent="0.25">
      <c r="A433" s="62"/>
      <c r="B433" s="64"/>
      <c r="C433" s="663"/>
      <c r="D433" s="663"/>
      <c r="E433" s="663"/>
      <c r="F433" s="663"/>
      <c r="G433" s="663"/>
      <c r="H433" s="663"/>
      <c r="I433" s="663"/>
      <c r="J433" s="663"/>
      <c r="K433" s="663"/>
      <c r="L433" s="663"/>
      <c r="M433" s="663"/>
      <c r="N433" s="663"/>
      <c r="O433" s="663"/>
      <c r="P433" s="663"/>
      <c r="Q433" s="663"/>
      <c r="R433" s="663"/>
      <c r="S433" s="65"/>
    </row>
    <row r="434" spans="1:30" s="66" customFormat="1" ht="13.5" hidden="1" customHeight="1" thickBot="1" x14ac:dyDescent="0.3">
      <c r="A434" s="62"/>
      <c r="B434" s="64"/>
      <c r="C434" s="663"/>
      <c r="D434" s="663"/>
      <c r="E434" s="663"/>
      <c r="F434" s="663"/>
      <c r="G434" s="663"/>
      <c r="H434" s="663"/>
      <c r="I434" s="663"/>
      <c r="J434" s="663"/>
      <c r="K434" s="663"/>
      <c r="L434" s="663"/>
      <c r="M434" s="663"/>
      <c r="N434" s="663"/>
      <c r="O434" s="663"/>
      <c r="P434" s="663"/>
      <c r="Q434" s="663"/>
      <c r="R434" s="663"/>
      <c r="S434" s="65"/>
    </row>
    <row r="435" spans="1:30" ht="16" thickBot="1" x14ac:dyDescent="0.4">
      <c r="A435" s="59"/>
      <c r="B435" s="194" t="s">
        <v>628</v>
      </c>
      <c r="C435" s="739" t="b">
        <f>$C$80</f>
        <v>1</v>
      </c>
      <c r="D435" s="740"/>
      <c r="E435" s="740"/>
      <c r="F435" s="740"/>
      <c r="G435" s="740"/>
      <c r="H435" s="740"/>
      <c r="I435" s="740"/>
      <c r="J435" s="740"/>
      <c r="K435" s="740"/>
      <c r="L435" s="740"/>
      <c r="M435" s="740"/>
      <c r="N435" s="740"/>
      <c r="O435" s="740"/>
      <c r="P435" s="740"/>
      <c r="Q435" s="740"/>
      <c r="R435" s="741"/>
      <c r="S435" s="94"/>
    </row>
    <row r="436" spans="1:30" ht="39.75" customHeight="1" thickBot="1" x14ac:dyDescent="0.3">
      <c r="A436" s="59"/>
      <c r="B436" s="95"/>
      <c r="C436" s="715"/>
      <c r="D436" s="716"/>
      <c r="E436" s="716"/>
      <c r="F436" s="717"/>
      <c r="G436" s="718"/>
      <c r="H436" s="719"/>
      <c r="I436" s="719"/>
      <c r="J436" s="720"/>
      <c r="K436" s="718"/>
      <c r="L436" s="719"/>
      <c r="M436" s="719"/>
      <c r="N436" s="720"/>
      <c r="O436" s="718"/>
      <c r="P436" s="719"/>
      <c r="Q436" s="719"/>
      <c r="R436" s="720"/>
      <c r="S436" s="94"/>
    </row>
    <row r="437" spans="1:30" ht="16.5" customHeight="1" thickBot="1" x14ac:dyDescent="0.3">
      <c r="A437" s="59"/>
      <c r="B437" s="195"/>
      <c r="C437" s="729" t="str">
        <f>C$82</f>
        <v>Loop1</v>
      </c>
      <c r="D437" s="730"/>
      <c r="E437" s="730" t="str">
        <f>E$82</f>
        <v>Stub1_2</v>
      </c>
      <c r="F437" s="731"/>
      <c r="G437" s="729" t="str">
        <f>G$82</f>
        <v>Stub2_1</v>
      </c>
      <c r="H437" s="730"/>
      <c r="I437" s="730" t="str">
        <f>I$82</f>
        <v>Stub2_2</v>
      </c>
      <c r="J437" s="731"/>
      <c r="K437" s="729" t="str">
        <f>K$82</f>
        <v>Loop3</v>
      </c>
      <c r="L437" s="730"/>
      <c r="M437" s="730" t="str">
        <f>M$82</f>
        <v>Stub3_2</v>
      </c>
      <c r="N437" s="731"/>
      <c r="O437" s="729" t="str">
        <f>O$82</f>
        <v>Loop4</v>
      </c>
      <c r="P437" s="730"/>
      <c r="Q437" s="730" t="str">
        <f>Q$82</f>
        <v>Stub4_2</v>
      </c>
      <c r="R437" s="731"/>
      <c r="S437" s="61"/>
    </row>
    <row r="438" spans="1:30" x14ac:dyDescent="0.25">
      <c r="A438" s="59"/>
      <c r="B438" s="196" t="s">
        <v>629</v>
      </c>
      <c r="C438" s="212">
        <v>1</v>
      </c>
      <c r="D438" s="198" t="s">
        <v>268</v>
      </c>
      <c r="E438" s="213">
        <v>1</v>
      </c>
      <c r="F438" s="214" t="s">
        <v>268</v>
      </c>
      <c r="G438" s="212">
        <v>1</v>
      </c>
      <c r="H438" s="198" t="s">
        <v>268</v>
      </c>
      <c r="I438" s="213">
        <v>1</v>
      </c>
      <c r="J438" s="214" t="s">
        <v>268</v>
      </c>
      <c r="K438" s="212">
        <v>1</v>
      </c>
      <c r="L438" s="198" t="s">
        <v>268</v>
      </c>
      <c r="M438" s="213">
        <v>1</v>
      </c>
      <c r="N438" s="214" t="s">
        <v>268</v>
      </c>
      <c r="O438" s="212">
        <v>1</v>
      </c>
      <c r="P438" s="198" t="s">
        <v>268</v>
      </c>
      <c r="Q438" s="213">
        <v>1</v>
      </c>
      <c r="R438" s="214" t="s">
        <v>268</v>
      </c>
      <c r="S438" s="200"/>
      <c r="AD438" s="46"/>
    </row>
    <row r="439" spans="1:30" hidden="1" x14ac:dyDescent="0.25">
      <c r="A439" s="215"/>
      <c r="B439" s="216"/>
      <c r="C439" s="217"/>
      <c r="D439" s="218"/>
      <c r="E439" s="217"/>
      <c r="F439" s="218"/>
      <c r="G439" s="217"/>
      <c r="H439" s="218"/>
      <c r="I439" s="217"/>
      <c r="J439" s="218"/>
      <c r="K439" s="217"/>
      <c r="L439" s="218"/>
      <c r="M439" s="217"/>
      <c r="N439" s="218"/>
      <c r="O439" s="217"/>
      <c r="P439" s="218"/>
      <c r="Q439" s="217"/>
      <c r="R439" s="218"/>
      <c r="S439" s="219"/>
      <c r="AD439" s="46"/>
    </row>
    <row r="440" spans="1:30" ht="12.75" customHeight="1" x14ac:dyDescent="0.25">
      <c r="A440" s="59"/>
      <c r="B440" s="201" t="s">
        <v>630</v>
      </c>
      <c r="C440" s="220">
        <v>0</v>
      </c>
      <c r="D440" s="155" t="s">
        <v>268</v>
      </c>
      <c r="E440" s="221">
        <v>0</v>
      </c>
      <c r="F440" s="138" t="s">
        <v>268</v>
      </c>
      <c r="G440" s="220">
        <v>0</v>
      </c>
      <c r="H440" s="155" t="s">
        <v>268</v>
      </c>
      <c r="I440" s="221">
        <v>0</v>
      </c>
      <c r="J440" s="138" t="s">
        <v>268</v>
      </c>
      <c r="K440" s="220">
        <v>0</v>
      </c>
      <c r="L440" s="155" t="s">
        <v>268</v>
      </c>
      <c r="M440" s="221">
        <v>0</v>
      </c>
      <c r="N440" s="138" t="s">
        <v>268</v>
      </c>
      <c r="O440" s="220">
        <v>0</v>
      </c>
      <c r="P440" s="155" t="s">
        <v>268</v>
      </c>
      <c r="Q440" s="221">
        <v>0</v>
      </c>
      <c r="R440" s="138" t="s">
        <v>268</v>
      </c>
      <c r="S440" s="200"/>
      <c r="AD440" s="46"/>
    </row>
    <row r="441" spans="1:30" ht="12.75" hidden="1" customHeight="1" x14ac:dyDescent="0.25">
      <c r="A441" s="215"/>
      <c r="B441" s="216"/>
      <c r="C441" s="217"/>
      <c r="D441" s="222"/>
      <c r="E441" s="223"/>
      <c r="F441" s="218"/>
      <c r="G441" s="217"/>
      <c r="H441" s="222"/>
      <c r="I441" s="223"/>
      <c r="J441" s="218"/>
      <c r="K441" s="217"/>
      <c r="L441" s="222"/>
      <c r="M441" s="223"/>
      <c r="N441" s="218"/>
      <c r="O441" s="217"/>
      <c r="P441" s="222"/>
      <c r="Q441" s="223"/>
      <c r="R441" s="218"/>
      <c r="S441" s="219"/>
      <c r="AD441" s="46"/>
    </row>
    <row r="442" spans="1:30" ht="13" thickBot="1" x14ac:dyDescent="0.3">
      <c r="A442" s="59"/>
      <c r="B442" s="206" t="s">
        <v>483</v>
      </c>
      <c r="C442" s="224">
        <v>0</v>
      </c>
      <c r="D442" s="225" t="s">
        <v>268</v>
      </c>
      <c r="E442" s="226">
        <v>0</v>
      </c>
      <c r="F442" s="227" t="s">
        <v>268</v>
      </c>
      <c r="G442" s="224">
        <v>0</v>
      </c>
      <c r="H442" s="225" t="s">
        <v>268</v>
      </c>
      <c r="I442" s="226">
        <v>0</v>
      </c>
      <c r="J442" s="227" t="s">
        <v>268</v>
      </c>
      <c r="K442" s="224">
        <v>0</v>
      </c>
      <c r="L442" s="225" t="s">
        <v>268</v>
      </c>
      <c r="M442" s="226">
        <v>0</v>
      </c>
      <c r="N442" s="227" t="s">
        <v>268</v>
      </c>
      <c r="O442" s="224">
        <v>0</v>
      </c>
      <c r="P442" s="225" t="s">
        <v>268</v>
      </c>
      <c r="Q442" s="226">
        <v>0</v>
      </c>
      <c r="R442" s="227" t="s">
        <v>268</v>
      </c>
      <c r="S442" s="61"/>
    </row>
    <row r="443" spans="1:30" hidden="1" x14ac:dyDescent="0.25">
      <c r="A443" s="215"/>
      <c r="B443" s="228" t="s">
        <v>631</v>
      </c>
      <c r="C443" s="229">
        <v>1.0000000000000001E-5</v>
      </c>
      <c r="D443" s="228" t="s">
        <v>268</v>
      </c>
      <c r="E443" s="229">
        <v>0</v>
      </c>
      <c r="F443" s="228" t="s">
        <v>268</v>
      </c>
      <c r="G443" s="229">
        <v>3.4482758620689656E-7</v>
      </c>
      <c r="H443" s="228" t="s">
        <v>268</v>
      </c>
      <c r="I443" s="229">
        <v>0</v>
      </c>
      <c r="J443" s="228" t="s">
        <v>268</v>
      </c>
      <c r="K443" s="229">
        <v>3.4482758620689655E-2</v>
      </c>
      <c r="L443" s="228" t="s">
        <v>268</v>
      </c>
      <c r="M443" s="229">
        <v>0</v>
      </c>
      <c r="N443" s="228" t="s">
        <v>268</v>
      </c>
      <c r="O443" s="229">
        <v>3.4482758620689657E-5</v>
      </c>
      <c r="P443" s="228" t="s">
        <v>268</v>
      </c>
      <c r="Q443" s="229">
        <v>0</v>
      </c>
      <c r="R443" s="228" t="s">
        <v>268</v>
      </c>
      <c r="S443" s="230"/>
    </row>
    <row r="444" spans="1:30" s="66" customFormat="1" ht="13.5" hidden="1" customHeight="1" x14ac:dyDescent="0.25">
      <c r="A444" s="231"/>
      <c r="B444" s="228" t="s">
        <v>632</v>
      </c>
      <c r="C444" s="229">
        <v>1.0000000000000001E-5</v>
      </c>
      <c r="D444" s="228" t="s">
        <v>268</v>
      </c>
      <c r="E444" s="229">
        <v>0</v>
      </c>
      <c r="F444" s="228" t="s">
        <v>268</v>
      </c>
      <c r="G444" s="229">
        <v>1.1111111111111112E-6</v>
      </c>
      <c r="H444" s="228" t="s">
        <v>268</v>
      </c>
      <c r="I444" s="229">
        <v>0</v>
      </c>
      <c r="J444" s="228" t="s">
        <v>268</v>
      </c>
      <c r="K444" s="229">
        <v>0.1111111111111111</v>
      </c>
      <c r="L444" s="228" t="s">
        <v>268</v>
      </c>
      <c r="M444" s="229">
        <v>0</v>
      </c>
      <c r="N444" s="228" t="s">
        <v>268</v>
      </c>
      <c r="O444" s="229">
        <v>1.1111111111111112E-4</v>
      </c>
      <c r="P444" s="228" t="s">
        <v>268</v>
      </c>
      <c r="Q444" s="229">
        <v>0</v>
      </c>
      <c r="R444" s="228" t="s">
        <v>268</v>
      </c>
      <c r="S444" s="232"/>
    </row>
    <row r="445" spans="1:30" s="66" customFormat="1" ht="13.5" hidden="1" customHeight="1" x14ac:dyDescent="0.25">
      <c r="A445" s="62"/>
      <c r="B445" s="64"/>
      <c r="C445" s="663"/>
      <c r="D445" s="663"/>
      <c r="E445" s="663"/>
      <c r="F445" s="663"/>
      <c r="G445" s="663"/>
      <c r="H445" s="663"/>
      <c r="I445" s="663"/>
      <c r="J445" s="663"/>
      <c r="K445" s="663"/>
      <c r="L445" s="663"/>
      <c r="M445" s="663"/>
      <c r="N445" s="663"/>
      <c r="O445" s="663"/>
      <c r="P445" s="663"/>
      <c r="Q445" s="663"/>
      <c r="R445" s="663"/>
      <c r="S445" s="65"/>
    </row>
    <row r="446" spans="1:30" s="66" customFormat="1" ht="13.5" hidden="1" customHeight="1" x14ac:dyDescent="0.25">
      <c r="A446" s="62"/>
      <c r="B446" s="64"/>
      <c r="C446" s="663"/>
      <c r="D446" s="663"/>
      <c r="E446" s="663"/>
      <c r="F446" s="663"/>
      <c r="G446" s="663"/>
      <c r="H446" s="663"/>
      <c r="I446" s="663"/>
      <c r="J446" s="663"/>
      <c r="K446" s="663"/>
      <c r="L446" s="663"/>
      <c r="M446" s="663"/>
      <c r="N446" s="663"/>
      <c r="O446" s="663"/>
      <c r="P446" s="663"/>
      <c r="Q446" s="663"/>
      <c r="R446" s="663"/>
      <c r="S446" s="65"/>
    </row>
    <row r="447" spans="1:30" s="66" customFormat="1" ht="13.5" hidden="1" customHeight="1" x14ac:dyDescent="0.25">
      <c r="A447" s="62"/>
      <c r="B447" s="64"/>
      <c r="C447" s="663"/>
      <c r="D447" s="663"/>
      <c r="E447" s="663"/>
      <c r="F447" s="663"/>
      <c r="G447" s="663"/>
      <c r="H447" s="663"/>
      <c r="I447" s="663"/>
      <c r="J447" s="663"/>
      <c r="K447" s="663"/>
      <c r="L447" s="663"/>
      <c r="M447" s="663"/>
      <c r="N447" s="663"/>
      <c r="O447" s="663"/>
      <c r="P447" s="663"/>
      <c r="Q447" s="663"/>
      <c r="R447" s="663"/>
      <c r="S447" s="65"/>
    </row>
    <row r="448" spans="1:30" s="66" customFormat="1" ht="13.5" hidden="1" customHeight="1" x14ac:dyDescent="0.25">
      <c r="A448" s="62"/>
      <c r="B448" s="188" t="s">
        <v>633</v>
      </c>
      <c r="C448" s="734" t="b">
        <v>1</v>
      </c>
      <c r="D448" s="734"/>
      <c r="E448" s="734" t="b">
        <v>1</v>
      </c>
      <c r="F448" s="734"/>
      <c r="G448" s="734" t="b">
        <v>1</v>
      </c>
      <c r="H448" s="734"/>
      <c r="I448" s="734" t="b">
        <v>1</v>
      </c>
      <c r="J448" s="734"/>
      <c r="K448" s="734" t="b">
        <v>1</v>
      </c>
      <c r="L448" s="734"/>
      <c r="M448" s="734" t="b">
        <v>1</v>
      </c>
      <c r="N448" s="734"/>
      <c r="O448" s="734" t="b">
        <v>1</v>
      </c>
      <c r="P448" s="734"/>
      <c r="Q448" s="734" t="b">
        <v>1</v>
      </c>
      <c r="R448" s="735"/>
      <c r="S448" s="65"/>
    </row>
    <row r="449" spans="1:19" s="66" customFormat="1" ht="13.5" hidden="1" customHeight="1" x14ac:dyDescent="0.25">
      <c r="A449" s="62"/>
      <c r="B449" s="64"/>
      <c r="C449" s="663" t="b">
        <v>1</v>
      </c>
      <c r="D449" s="663"/>
      <c r="E449" s="663"/>
      <c r="F449" s="663"/>
      <c r="G449" s="663"/>
      <c r="H449" s="663"/>
      <c r="I449" s="663"/>
      <c r="J449" s="663"/>
      <c r="K449" s="663"/>
      <c r="L449" s="663"/>
      <c r="M449" s="663"/>
      <c r="N449" s="663"/>
      <c r="O449" s="663"/>
      <c r="P449" s="663"/>
      <c r="Q449" s="663"/>
      <c r="R449" s="663"/>
      <c r="S449" s="65"/>
    </row>
    <row r="450" spans="1:19" s="66" customFormat="1" ht="13.5" hidden="1" customHeight="1" x14ac:dyDescent="0.25">
      <c r="A450" s="62"/>
      <c r="B450" s="64"/>
      <c r="C450" s="663"/>
      <c r="D450" s="663"/>
      <c r="E450" s="663"/>
      <c r="F450" s="663"/>
      <c r="G450" s="663"/>
      <c r="H450" s="663"/>
      <c r="I450" s="663"/>
      <c r="J450" s="663"/>
      <c r="K450" s="663"/>
      <c r="L450" s="663"/>
      <c r="M450" s="663"/>
      <c r="N450" s="663"/>
      <c r="O450" s="663"/>
      <c r="P450" s="663"/>
      <c r="Q450" s="663"/>
      <c r="R450" s="663"/>
      <c r="S450" s="65"/>
    </row>
    <row r="451" spans="1:19" s="66" customFormat="1" ht="13.5" hidden="1" customHeight="1" x14ac:dyDescent="0.25">
      <c r="A451" s="62"/>
      <c r="B451" s="64"/>
      <c r="C451" s="663"/>
      <c r="D451" s="663"/>
      <c r="E451" s="663"/>
      <c r="F451" s="663"/>
      <c r="G451" s="663"/>
      <c r="H451" s="663"/>
      <c r="I451" s="663"/>
      <c r="J451" s="663"/>
      <c r="K451" s="663"/>
      <c r="L451" s="663"/>
      <c r="M451" s="663"/>
      <c r="N451" s="663"/>
      <c r="O451" s="663"/>
      <c r="P451" s="663"/>
      <c r="Q451" s="663"/>
      <c r="R451" s="663"/>
      <c r="S451" s="65"/>
    </row>
    <row r="452" spans="1:19" s="66" customFormat="1" ht="13.5" hidden="1" customHeight="1" x14ac:dyDescent="0.25">
      <c r="A452" s="62"/>
      <c r="B452" s="64"/>
      <c r="C452" s="663"/>
      <c r="D452" s="663"/>
      <c r="E452" s="663"/>
      <c r="F452" s="663"/>
      <c r="G452" s="663"/>
      <c r="H452" s="663"/>
      <c r="I452" s="663"/>
      <c r="J452" s="663"/>
      <c r="K452" s="663"/>
      <c r="L452" s="663"/>
      <c r="M452" s="663"/>
      <c r="N452" s="663"/>
      <c r="O452" s="663"/>
      <c r="P452" s="663"/>
      <c r="Q452" s="663"/>
      <c r="R452" s="663"/>
      <c r="S452" s="65"/>
    </row>
    <row r="453" spans="1:19" s="66" customFormat="1" ht="13.5" hidden="1" customHeight="1" x14ac:dyDescent="0.25">
      <c r="A453" s="62"/>
      <c r="B453" s="64"/>
      <c r="C453" s="64"/>
      <c r="D453" s="64"/>
      <c r="E453" s="64"/>
      <c r="F453" s="64"/>
      <c r="G453" s="64"/>
      <c r="H453" s="64"/>
      <c r="I453" s="64"/>
      <c r="J453" s="64"/>
      <c r="K453" s="64"/>
      <c r="L453" s="64"/>
      <c r="M453" s="64"/>
      <c r="N453" s="64"/>
      <c r="O453" s="64"/>
      <c r="P453" s="64"/>
      <c r="Q453" s="64"/>
      <c r="R453" s="64"/>
      <c r="S453" s="65"/>
    </row>
    <row r="454" spans="1:19" s="66" customFormat="1" ht="13.5" hidden="1" customHeight="1" x14ac:dyDescent="0.25">
      <c r="A454" s="62"/>
      <c r="B454" s="64"/>
      <c r="C454" s="64"/>
      <c r="D454" s="64"/>
      <c r="E454" s="64"/>
      <c r="F454" s="64"/>
      <c r="G454" s="64"/>
      <c r="H454" s="64"/>
      <c r="I454" s="64"/>
      <c r="J454" s="64"/>
      <c r="K454" s="64"/>
      <c r="L454" s="64"/>
      <c r="M454" s="64"/>
      <c r="N454" s="64"/>
      <c r="O454" s="64"/>
      <c r="P454" s="64"/>
      <c r="Q454" s="64"/>
      <c r="R454" s="64"/>
      <c r="S454" s="65"/>
    </row>
    <row r="455" spans="1:19" s="66" customFormat="1" ht="13" hidden="1" x14ac:dyDescent="0.3">
      <c r="A455" s="62"/>
      <c r="B455" s="63"/>
      <c r="C455" s="63"/>
      <c r="D455" s="63"/>
      <c r="E455" s="63"/>
      <c r="F455" s="64"/>
      <c r="G455" s="64"/>
      <c r="H455" s="64"/>
      <c r="I455" s="64"/>
      <c r="J455" s="64"/>
      <c r="K455" s="64"/>
      <c r="L455" s="64"/>
      <c r="M455" s="64"/>
      <c r="N455" s="64"/>
      <c r="O455" s="64"/>
      <c r="P455" s="64"/>
      <c r="Q455" s="64"/>
      <c r="R455" s="64"/>
      <c r="S455" s="65"/>
    </row>
    <row r="456" spans="1:19" s="66" customFormat="1" hidden="1" x14ac:dyDescent="0.25">
      <c r="A456" s="62"/>
      <c r="B456" s="64"/>
      <c r="C456" s="64"/>
      <c r="D456" s="64"/>
      <c r="E456" s="64"/>
      <c r="F456" s="64"/>
      <c r="G456" s="64"/>
      <c r="H456" s="64"/>
      <c r="I456" s="64"/>
      <c r="J456" s="64"/>
      <c r="K456" s="64"/>
      <c r="L456" s="64"/>
      <c r="M456" s="64"/>
      <c r="N456" s="64"/>
      <c r="O456" s="64"/>
      <c r="P456" s="64"/>
      <c r="Q456" s="64"/>
      <c r="R456" s="64"/>
      <c r="S456" s="65"/>
    </row>
    <row r="457" spans="1:19" s="66" customFormat="1" hidden="1" x14ac:dyDescent="0.25">
      <c r="A457" s="62"/>
      <c r="B457" s="64"/>
      <c r="C457" s="64"/>
      <c r="D457" s="64"/>
      <c r="E457" s="64"/>
      <c r="F457" s="64"/>
      <c r="G457" s="64"/>
      <c r="H457" s="64"/>
      <c r="I457" s="64"/>
      <c r="J457" s="64"/>
      <c r="K457" s="64"/>
      <c r="L457" s="64"/>
      <c r="M457" s="64"/>
      <c r="N457" s="64"/>
      <c r="O457" s="64"/>
      <c r="P457" s="64"/>
      <c r="Q457" s="64"/>
      <c r="R457" s="64"/>
      <c r="S457" s="65"/>
    </row>
    <row r="458" spans="1:19" s="66" customFormat="1" hidden="1" x14ac:dyDescent="0.25">
      <c r="A458" s="62"/>
      <c r="B458" s="64"/>
      <c r="C458" s="64"/>
      <c r="D458" s="64"/>
      <c r="E458" s="64"/>
      <c r="F458" s="64"/>
      <c r="G458" s="64"/>
      <c r="H458" s="64"/>
      <c r="I458" s="64"/>
      <c r="J458" s="64"/>
      <c r="K458" s="64"/>
      <c r="L458" s="64"/>
      <c r="M458" s="64"/>
      <c r="N458" s="64"/>
      <c r="O458" s="64"/>
      <c r="P458" s="64"/>
      <c r="Q458" s="64"/>
      <c r="R458" s="64"/>
      <c r="S458" s="65"/>
    </row>
    <row r="459" spans="1:19" s="66" customFormat="1" hidden="1" x14ac:dyDescent="0.25">
      <c r="A459" s="62"/>
      <c r="B459" s="64"/>
      <c r="C459" s="64"/>
      <c r="D459" s="64"/>
      <c r="E459" s="64"/>
      <c r="F459" s="64"/>
      <c r="G459" s="64"/>
      <c r="H459" s="64"/>
      <c r="I459" s="64"/>
      <c r="J459" s="64"/>
      <c r="K459" s="64"/>
      <c r="L459" s="64"/>
      <c r="M459" s="64"/>
      <c r="N459" s="64"/>
      <c r="O459" s="64"/>
      <c r="P459" s="64"/>
      <c r="Q459" s="64"/>
      <c r="R459" s="64"/>
      <c r="S459" s="65"/>
    </row>
    <row r="460" spans="1:19" s="66" customFormat="1" hidden="1" x14ac:dyDescent="0.25">
      <c r="A460" s="62"/>
      <c r="B460" s="64"/>
      <c r="C460" s="64"/>
      <c r="D460" s="64"/>
      <c r="E460" s="64"/>
      <c r="F460" s="64"/>
      <c r="G460" s="64"/>
      <c r="H460" s="64"/>
      <c r="I460" s="64"/>
      <c r="J460" s="64"/>
      <c r="K460" s="64"/>
      <c r="L460" s="64"/>
      <c r="M460" s="64"/>
      <c r="N460" s="64"/>
      <c r="O460" s="64"/>
      <c r="P460" s="64"/>
      <c r="Q460" s="64"/>
      <c r="R460" s="64"/>
      <c r="S460" s="65"/>
    </row>
    <row r="461" spans="1:19" s="66" customFormat="1" hidden="1" x14ac:dyDescent="0.25">
      <c r="A461" s="62"/>
      <c r="B461" s="64"/>
      <c r="C461" s="663"/>
      <c r="D461" s="64"/>
      <c r="E461" s="64"/>
      <c r="F461" s="64"/>
      <c r="G461" s="64"/>
      <c r="H461" s="64"/>
      <c r="I461" s="64"/>
      <c r="J461" s="64"/>
      <c r="K461" s="64"/>
      <c r="L461" s="64"/>
      <c r="M461" s="64"/>
      <c r="N461" s="64"/>
      <c r="O461" s="64"/>
      <c r="P461" s="64"/>
      <c r="Q461" s="64"/>
      <c r="R461" s="64"/>
      <c r="S461" s="65"/>
    </row>
    <row r="462" spans="1:19" s="66" customFormat="1" hidden="1" x14ac:dyDescent="0.25">
      <c r="A462" s="62"/>
      <c r="B462" s="64"/>
      <c r="C462" s="663"/>
      <c r="D462" s="64"/>
      <c r="E462" s="64"/>
      <c r="F462" s="64"/>
      <c r="G462" s="64"/>
      <c r="H462" s="64"/>
      <c r="I462" s="64"/>
      <c r="J462" s="64"/>
      <c r="K462" s="64"/>
      <c r="L462" s="64"/>
      <c r="M462" s="64"/>
      <c r="N462" s="64"/>
      <c r="O462" s="64"/>
      <c r="P462" s="64"/>
      <c r="Q462" s="64"/>
      <c r="R462" s="64"/>
      <c r="S462" s="65"/>
    </row>
    <row r="463" spans="1:19" s="66" customFormat="1" hidden="1" x14ac:dyDescent="0.25">
      <c r="A463" s="62"/>
      <c r="B463" s="64"/>
      <c r="C463" s="663"/>
      <c r="D463" s="64"/>
      <c r="E463" s="64"/>
      <c r="F463" s="64"/>
      <c r="G463" s="64"/>
      <c r="H463" s="64"/>
      <c r="I463" s="64"/>
      <c r="J463" s="64"/>
      <c r="K463" s="64"/>
      <c r="L463" s="64"/>
      <c r="M463" s="64"/>
      <c r="N463" s="64"/>
      <c r="O463" s="64"/>
      <c r="P463" s="64"/>
      <c r="Q463" s="64"/>
      <c r="R463" s="64"/>
      <c r="S463" s="65"/>
    </row>
    <row r="464" spans="1:19" s="66" customFormat="1" hidden="1" x14ac:dyDescent="0.25">
      <c r="A464" s="62"/>
      <c r="B464" s="64"/>
      <c r="C464" s="663"/>
      <c r="D464" s="64"/>
      <c r="E464" s="64"/>
      <c r="F464" s="64"/>
      <c r="G464" s="64"/>
      <c r="H464" s="64"/>
      <c r="I464" s="64"/>
      <c r="J464" s="64"/>
      <c r="K464" s="64"/>
      <c r="L464" s="64"/>
      <c r="M464" s="64"/>
      <c r="N464" s="64"/>
      <c r="O464" s="64"/>
      <c r="P464" s="64"/>
      <c r="Q464" s="64"/>
      <c r="R464" s="64"/>
      <c r="S464" s="65"/>
    </row>
    <row r="465" spans="1:19" s="66" customFormat="1" hidden="1" x14ac:dyDescent="0.25">
      <c r="A465" s="62"/>
      <c r="B465" s="64"/>
      <c r="C465" s="64"/>
      <c r="D465" s="64"/>
      <c r="E465" s="64"/>
      <c r="F465" s="64"/>
      <c r="G465" s="64"/>
      <c r="H465" s="64"/>
      <c r="I465" s="64"/>
      <c r="J465" s="64"/>
      <c r="K465" s="64"/>
      <c r="L465" s="64"/>
      <c r="M465" s="64"/>
      <c r="N465" s="64"/>
      <c r="O465" s="64"/>
      <c r="P465" s="64"/>
      <c r="Q465" s="64"/>
      <c r="R465" s="64"/>
      <c r="S465" s="65"/>
    </row>
    <row r="466" spans="1:19" s="66" customFormat="1" hidden="1" x14ac:dyDescent="0.25">
      <c r="A466" s="62"/>
      <c r="B466" s="77"/>
      <c r="C466" s="742"/>
      <c r="D466" s="742"/>
      <c r="E466" s="742"/>
      <c r="F466" s="742"/>
      <c r="G466" s="742"/>
      <c r="H466" s="742"/>
      <c r="I466" s="742"/>
      <c r="J466" s="742"/>
      <c r="K466" s="742"/>
      <c r="L466" s="742"/>
      <c r="M466" s="742"/>
      <c r="N466" s="742"/>
      <c r="O466" s="742"/>
      <c r="P466" s="742"/>
      <c r="Q466" s="742"/>
      <c r="R466" s="742"/>
      <c r="S466" s="65"/>
    </row>
    <row r="467" spans="1:19" s="66" customFormat="1" hidden="1" x14ac:dyDescent="0.25">
      <c r="A467" s="62"/>
      <c r="B467" s="64"/>
      <c r="C467" s="64"/>
      <c r="D467" s="64"/>
      <c r="E467" s="64"/>
      <c r="F467" s="64"/>
      <c r="G467" s="64"/>
      <c r="H467" s="64"/>
      <c r="I467" s="64"/>
      <c r="J467" s="64"/>
      <c r="K467" s="64"/>
      <c r="L467" s="64"/>
      <c r="M467" s="64"/>
      <c r="N467" s="64"/>
      <c r="O467" s="64"/>
      <c r="P467" s="64"/>
      <c r="Q467" s="64"/>
      <c r="R467" s="64"/>
      <c r="S467" s="65"/>
    </row>
    <row r="468" spans="1:19" s="66" customFormat="1" hidden="1" x14ac:dyDescent="0.25">
      <c r="A468" s="62"/>
      <c r="B468" s="64"/>
      <c r="C468" s="64"/>
      <c r="D468" s="64"/>
      <c r="E468" s="64"/>
      <c r="F468" s="64"/>
      <c r="G468" s="64"/>
      <c r="H468" s="64"/>
      <c r="I468" s="64"/>
      <c r="J468" s="64"/>
      <c r="K468" s="64"/>
      <c r="L468" s="64"/>
      <c r="M468" s="64"/>
      <c r="N468" s="64"/>
      <c r="O468" s="64"/>
      <c r="P468" s="64"/>
      <c r="Q468" s="64"/>
      <c r="R468" s="64"/>
      <c r="S468" s="65"/>
    </row>
    <row r="469" spans="1:19" ht="13" thickBot="1" x14ac:dyDescent="0.3">
      <c r="A469" s="59"/>
      <c r="B469" s="46"/>
      <c r="C469" s="46"/>
      <c r="S469" s="61"/>
    </row>
    <row r="470" spans="1:19" ht="13" hidden="1" thickBot="1" x14ac:dyDescent="0.3">
      <c r="A470" s="59"/>
      <c r="B470" s="46"/>
      <c r="C470" s="46"/>
      <c r="S470" s="61"/>
    </row>
    <row r="471" spans="1:19" ht="13" hidden="1" thickBot="1" x14ac:dyDescent="0.3">
      <c r="A471" s="59"/>
      <c r="B471" s="46"/>
      <c r="C471" s="46"/>
      <c r="S471" s="61"/>
    </row>
    <row r="472" spans="1:19" ht="13" hidden="1" thickBot="1" x14ac:dyDescent="0.3">
      <c r="A472" s="233"/>
      <c r="B472" s="234"/>
      <c r="C472" s="234"/>
      <c r="D472" s="234"/>
      <c r="E472" s="234"/>
      <c r="F472" s="234"/>
      <c r="G472" s="234"/>
      <c r="H472" s="234"/>
      <c r="I472" s="234"/>
      <c r="J472" s="234"/>
      <c r="K472" s="234"/>
      <c r="L472" s="234"/>
      <c r="M472" s="234"/>
      <c r="N472" s="234"/>
      <c r="O472" s="234"/>
      <c r="P472" s="234"/>
      <c r="Q472" s="234"/>
      <c r="R472" s="234"/>
      <c r="S472" s="185"/>
    </row>
    <row r="473" spans="1:19" ht="13" hidden="1" thickBot="1" x14ac:dyDescent="0.3"/>
    <row r="474" spans="1:19" ht="16" thickBot="1" x14ac:dyDescent="0.4">
      <c r="A474" s="743" t="s">
        <v>273</v>
      </c>
      <c r="B474" s="744"/>
      <c r="C474" s="744"/>
      <c r="D474" s="744"/>
      <c r="E474" s="744"/>
      <c r="F474" s="744"/>
      <c r="G474" s="744"/>
      <c r="H474" s="744"/>
      <c r="I474" s="744"/>
      <c r="J474" s="744"/>
      <c r="K474" s="744"/>
      <c r="L474" s="744"/>
      <c r="M474" s="744"/>
      <c r="N474" s="744"/>
      <c r="O474" s="744"/>
      <c r="P474" s="744"/>
      <c r="Q474" s="744"/>
      <c r="R474" s="744"/>
      <c r="S474" s="745"/>
    </row>
    <row r="475" spans="1:19" ht="13.5" customHeight="1" thickBot="1" x14ac:dyDescent="0.35">
      <c r="A475" s="59"/>
      <c r="B475" s="235"/>
      <c r="S475" s="61"/>
    </row>
    <row r="476" spans="1:19" s="71" customFormat="1" ht="16.5" customHeight="1" thickBot="1" x14ac:dyDescent="0.4">
      <c r="A476" s="236"/>
      <c r="B476" s="93" t="s">
        <v>634</v>
      </c>
      <c r="C476" s="739" t="b">
        <f>$C$80</f>
        <v>1</v>
      </c>
      <c r="D476" s="740"/>
      <c r="E476" s="740"/>
      <c r="F476" s="740"/>
      <c r="G476" s="740"/>
      <c r="H476" s="740"/>
      <c r="I476" s="740"/>
      <c r="J476" s="740"/>
      <c r="K476" s="740"/>
      <c r="L476" s="740"/>
      <c r="M476" s="740"/>
      <c r="N476" s="740"/>
      <c r="O476" s="740"/>
      <c r="P476" s="740"/>
      <c r="Q476" s="740"/>
      <c r="R476" s="741"/>
      <c r="S476" s="237"/>
    </row>
    <row r="477" spans="1:19" s="71" customFormat="1" ht="16.5" customHeight="1" thickBot="1" x14ac:dyDescent="0.35">
      <c r="A477" s="236"/>
      <c r="B477" s="96"/>
      <c r="C477" s="729" t="str">
        <f>C$82</f>
        <v>Loop1</v>
      </c>
      <c r="D477" s="730"/>
      <c r="E477" s="730" t="str">
        <f>E$82</f>
        <v>Stub1_2</v>
      </c>
      <c r="F477" s="731"/>
      <c r="G477" s="729" t="str">
        <f>G$82</f>
        <v>Stub2_1</v>
      </c>
      <c r="H477" s="730"/>
      <c r="I477" s="730" t="str">
        <f>I$82</f>
        <v>Stub2_2</v>
      </c>
      <c r="J477" s="731"/>
      <c r="K477" s="729" t="str">
        <f>K$82</f>
        <v>Loop3</v>
      </c>
      <c r="L477" s="730"/>
      <c r="M477" s="730" t="str">
        <f>M$82</f>
        <v>Stub3_2</v>
      </c>
      <c r="N477" s="731"/>
      <c r="O477" s="729" t="str">
        <f>O$82</f>
        <v>Loop4</v>
      </c>
      <c r="P477" s="730"/>
      <c r="Q477" s="730" t="str">
        <f>Q$82</f>
        <v>Stub4_2</v>
      </c>
      <c r="R477" s="731"/>
      <c r="S477" s="238"/>
    </row>
    <row r="478" spans="1:19" ht="13.5" hidden="1" customHeight="1" thickBot="1" x14ac:dyDescent="0.3">
      <c r="A478" s="215"/>
      <c r="B478" s="239"/>
      <c r="C478" s="240"/>
      <c r="D478" s="241"/>
      <c r="E478" s="241"/>
      <c r="F478" s="242"/>
      <c r="G478" s="240"/>
      <c r="H478" s="241"/>
      <c r="I478" s="241"/>
      <c r="J478" s="242"/>
      <c r="K478" s="240"/>
      <c r="L478" s="241"/>
      <c r="M478" s="241"/>
      <c r="N478" s="242"/>
      <c r="O478" s="240"/>
      <c r="P478" s="241"/>
      <c r="Q478" s="241"/>
      <c r="R478" s="242"/>
      <c r="S478" s="230"/>
    </row>
    <row r="479" spans="1:19" ht="13.5" customHeight="1" x14ac:dyDescent="0.25">
      <c r="A479" s="59"/>
      <c r="B479" s="243" t="s">
        <v>635</v>
      </c>
      <c r="C479" s="746">
        <v>0</v>
      </c>
      <c r="D479" s="747"/>
      <c r="E479" s="748">
        <v>0</v>
      </c>
      <c r="F479" s="749"/>
      <c r="G479" s="746">
        <v>0</v>
      </c>
      <c r="H479" s="747"/>
      <c r="I479" s="748">
        <v>0</v>
      </c>
      <c r="J479" s="749"/>
      <c r="K479" s="746">
        <v>0</v>
      </c>
      <c r="L479" s="747"/>
      <c r="M479" s="748">
        <v>0</v>
      </c>
      <c r="N479" s="749"/>
      <c r="O479" s="746">
        <v>0</v>
      </c>
      <c r="P479" s="747"/>
      <c r="Q479" s="748">
        <v>0</v>
      </c>
      <c r="R479" s="749"/>
      <c r="S479" s="61"/>
    </row>
    <row r="480" spans="1:19" ht="13.5" customHeight="1" thickBot="1" x14ac:dyDescent="0.3">
      <c r="A480" s="59"/>
      <c r="B480" s="244" t="s">
        <v>636</v>
      </c>
      <c r="C480" s="750">
        <v>0</v>
      </c>
      <c r="D480" s="751"/>
      <c r="E480" s="751"/>
      <c r="F480" s="751"/>
      <c r="G480" s="751"/>
      <c r="H480" s="751"/>
      <c r="I480" s="751"/>
      <c r="J480" s="751"/>
      <c r="K480" s="751"/>
      <c r="L480" s="751"/>
      <c r="M480" s="751"/>
      <c r="N480" s="751"/>
      <c r="O480" s="751"/>
      <c r="P480" s="751"/>
      <c r="Q480" s="751"/>
      <c r="R480" s="752"/>
      <c r="S480" s="94"/>
    </row>
    <row r="481" spans="1:19" ht="13.5" hidden="1" customHeight="1" x14ac:dyDescent="0.25">
      <c r="A481" s="215"/>
      <c r="B481" s="239"/>
      <c r="C481" s="661"/>
      <c r="D481" s="661"/>
      <c r="E481" s="661"/>
      <c r="F481" s="661"/>
      <c r="G481" s="661"/>
      <c r="H481" s="661"/>
      <c r="I481" s="661"/>
      <c r="J481" s="661"/>
      <c r="K481" s="661"/>
      <c r="L481" s="661"/>
      <c r="M481" s="661"/>
      <c r="N481" s="661"/>
      <c r="O481" s="661"/>
      <c r="P481" s="661"/>
      <c r="Q481" s="661"/>
      <c r="R481" s="661"/>
      <c r="S481" s="230"/>
    </row>
    <row r="482" spans="1:19" hidden="1" x14ac:dyDescent="0.25">
      <c r="A482" s="215"/>
      <c r="B482" s="239"/>
      <c r="C482" s="661"/>
      <c r="D482" s="661"/>
      <c r="E482" s="661"/>
      <c r="F482" s="661"/>
      <c r="G482" s="661"/>
      <c r="H482" s="661"/>
      <c r="I482" s="661"/>
      <c r="J482" s="661"/>
      <c r="K482" s="661"/>
      <c r="L482" s="661"/>
      <c r="M482" s="661"/>
      <c r="N482" s="661"/>
      <c r="O482" s="661"/>
      <c r="P482" s="661"/>
      <c r="Q482" s="661"/>
      <c r="R482" s="661"/>
      <c r="S482" s="230"/>
    </row>
    <row r="483" spans="1:19" ht="13.5" hidden="1" customHeight="1" x14ac:dyDescent="0.25">
      <c r="A483" s="215"/>
      <c r="B483" s="228" t="s">
        <v>637</v>
      </c>
      <c r="C483" s="245">
        <v>0</v>
      </c>
      <c r="D483" s="246"/>
      <c r="E483" s="245">
        <v>0</v>
      </c>
      <c r="F483" s="246"/>
      <c r="G483" s="245">
        <v>0</v>
      </c>
      <c r="H483" s="246"/>
      <c r="I483" s="245">
        <v>0</v>
      </c>
      <c r="J483" s="246"/>
      <c r="K483" s="245">
        <v>0</v>
      </c>
      <c r="L483" s="246"/>
      <c r="M483" s="245">
        <v>0</v>
      </c>
      <c r="N483" s="246"/>
      <c r="O483" s="245">
        <v>0</v>
      </c>
      <c r="P483" s="246"/>
      <c r="Q483" s="245">
        <v>0</v>
      </c>
      <c r="R483" s="246"/>
      <c r="S483" s="230"/>
    </row>
    <row r="484" spans="1:19" ht="13.5" hidden="1" customHeight="1" x14ac:dyDescent="0.25">
      <c r="A484" s="215"/>
      <c r="B484" s="228" t="s">
        <v>638</v>
      </c>
      <c r="C484" s="247">
        <v>15</v>
      </c>
      <c r="D484" s="248"/>
      <c r="E484" s="247">
        <v>15</v>
      </c>
      <c r="F484" s="248"/>
      <c r="G484" s="247">
        <v>15</v>
      </c>
      <c r="H484" s="248"/>
      <c r="I484" s="247">
        <v>15</v>
      </c>
      <c r="J484" s="248"/>
      <c r="K484" s="247">
        <v>15</v>
      </c>
      <c r="L484" s="248"/>
      <c r="M484" s="247">
        <v>15</v>
      </c>
      <c r="N484" s="248"/>
      <c r="O484" s="247">
        <v>15</v>
      </c>
      <c r="P484" s="248"/>
      <c r="Q484" s="247">
        <v>15</v>
      </c>
      <c r="R484" s="248"/>
      <c r="S484" s="230"/>
    </row>
    <row r="485" spans="1:19" ht="13.5" hidden="1" customHeight="1" x14ac:dyDescent="0.25">
      <c r="A485" s="215"/>
      <c r="B485" s="228" t="s">
        <v>639</v>
      </c>
      <c r="C485" s="247">
        <v>0</v>
      </c>
      <c r="D485" s="249" t="s">
        <v>73</v>
      </c>
      <c r="E485" s="247">
        <v>0</v>
      </c>
      <c r="F485" s="249" t="s">
        <v>73</v>
      </c>
      <c r="G485" s="247">
        <v>0</v>
      </c>
      <c r="H485" s="249" t="s">
        <v>73</v>
      </c>
      <c r="I485" s="247">
        <v>0</v>
      </c>
      <c r="J485" s="249" t="s">
        <v>73</v>
      </c>
      <c r="K485" s="247">
        <v>0</v>
      </c>
      <c r="L485" s="249" t="s">
        <v>73</v>
      </c>
      <c r="M485" s="247">
        <v>0</v>
      </c>
      <c r="N485" s="249" t="s">
        <v>73</v>
      </c>
      <c r="O485" s="247">
        <v>0</v>
      </c>
      <c r="P485" s="249" t="s">
        <v>73</v>
      </c>
      <c r="Q485" s="247">
        <v>0</v>
      </c>
      <c r="R485" s="249" t="s">
        <v>73</v>
      </c>
      <c r="S485" s="230"/>
    </row>
    <row r="486" spans="1:19" ht="13.5" hidden="1" customHeight="1" x14ac:dyDescent="0.25">
      <c r="A486" s="215"/>
      <c r="B486" s="228" t="s">
        <v>640</v>
      </c>
      <c r="C486" s="247">
        <v>0</v>
      </c>
      <c r="D486" s="249" t="s">
        <v>73</v>
      </c>
      <c r="E486" s="247">
        <v>0</v>
      </c>
      <c r="F486" s="249" t="s">
        <v>73</v>
      </c>
      <c r="G486" s="247">
        <v>0</v>
      </c>
      <c r="H486" s="249" t="s">
        <v>73</v>
      </c>
      <c r="I486" s="247">
        <v>0</v>
      </c>
      <c r="J486" s="249" t="s">
        <v>73</v>
      </c>
      <c r="K486" s="247">
        <v>0</v>
      </c>
      <c r="L486" s="249" t="s">
        <v>73</v>
      </c>
      <c r="M486" s="247">
        <v>0</v>
      </c>
      <c r="N486" s="249" t="s">
        <v>73</v>
      </c>
      <c r="O486" s="247">
        <v>0</v>
      </c>
      <c r="P486" s="249" t="s">
        <v>73</v>
      </c>
      <c r="Q486" s="247">
        <v>0</v>
      </c>
      <c r="R486" s="249" t="s">
        <v>73</v>
      </c>
      <c r="S486" s="230"/>
    </row>
    <row r="487" spans="1:19" ht="13.5" hidden="1" customHeight="1" x14ac:dyDescent="0.25">
      <c r="A487" s="215"/>
      <c r="B487" s="228" t="s">
        <v>641</v>
      </c>
      <c r="C487" s="247">
        <v>0</v>
      </c>
      <c r="D487" s="249" t="s">
        <v>73</v>
      </c>
      <c r="E487" s="247">
        <v>0</v>
      </c>
      <c r="F487" s="249" t="s">
        <v>73</v>
      </c>
      <c r="G487" s="247">
        <v>0</v>
      </c>
      <c r="H487" s="249" t="s">
        <v>73</v>
      </c>
      <c r="I487" s="247">
        <v>0</v>
      </c>
      <c r="J487" s="249" t="s">
        <v>73</v>
      </c>
      <c r="K487" s="247">
        <v>0</v>
      </c>
      <c r="L487" s="249" t="s">
        <v>73</v>
      </c>
      <c r="M487" s="247">
        <v>0</v>
      </c>
      <c r="N487" s="249" t="s">
        <v>73</v>
      </c>
      <c r="O487" s="247">
        <v>0</v>
      </c>
      <c r="P487" s="249" t="s">
        <v>73</v>
      </c>
      <c r="Q487" s="247">
        <v>0</v>
      </c>
      <c r="R487" s="249" t="s">
        <v>73</v>
      </c>
      <c r="S487" s="230"/>
    </row>
    <row r="488" spans="1:19" ht="13.5" hidden="1" customHeight="1" x14ac:dyDescent="0.25">
      <c r="A488" s="215"/>
      <c r="B488" s="228"/>
      <c r="C488" s="247"/>
      <c r="D488" s="249"/>
      <c r="E488" s="247"/>
      <c r="F488" s="249"/>
      <c r="G488" s="247"/>
      <c r="H488" s="249"/>
      <c r="I488" s="247"/>
      <c r="J488" s="249"/>
      <c r="K488" s="247"/>
      <c r="L488" s="249"/>
      <c r="M488" s="247"/>
      <c r="N488" s="249"/>
      <c r="O488" s="247"/>
      <c r="P488" s="249"/>
      <c r="Q488" s="247"/>
      <c r="R488" s="249"/>
      <c r="S488" s="230"/>
    </row>
    <row r="489" spans="1:19" s="66" customFormat="1" ht="13.5" hidden="1" customHeight="1" x14ac:dyDescent="0.25">
      <c r="A489" s="231"/>
      <c r="B489" s="228"/>
      <c r="C489" s="247"/>
      <c r="D489" s="249"/>
      <c r="E489" s="247"/>
      <c r="F489" s="249"/>
      <c r="G489" s="247"/>
      <c r="H489" s="249"/>
      <c r="I489" s="247"/>
      <c r="J489" s="249"/>
      <c r="K489" s="247"/>
      <c r="L489" s="249"/>
      <c r="M489" s="247"/>
      <c r="N489" s="249"/>
      <c r="O489" s="247"/>
      <c r="P489" s="249"/>
      <c r="Q489" s="247"/>
      <c r="R489" s="249"/>
      <c r="S489" s="232"/>
    </row>
    <row r="490" spans="1:19" s="66" customFormat="1" ht="13.5" hidden="1" customHeight="1" x14ac:dyDescent="0.25">
      <c r="A490" s="231"/>
      <c r="B490" s="239" t="s">
        <v>642</v>
      </c>
      <c r="C490" s="753">
        <v>0</v>
      </c>
      <c r="D490" s="753"/>
      <c r="E490" s="753">
        <v>0</v>
      </c>
      <c r="F490" s="753"/>
      <c r="G490" s="753">
        <v>0</v>
      </c>
      <c r="H490" s="753"/>
      <c r="I490" s="753">
        <v>0</v>
      </c>
      <c r="J490" s="753"/>
      <c r="K490" s="753">
        <v>0</v>
      </c>
      <c r="L490" s="753"/>
      <c r="M490" s="753">
        <v>0</v>
      </c>
      <c r="N490" s="753"/>
      <c r="O490" s="753">
        <v>0</v>
      </c>
      <c r="P490" s="753"/>
      <c r="Q490" s="753">
        <v>0</v>
      </c>
      <c r="R490" s="753"/>
      <c r="S490" s="232"/>
    </row>
    <row r="491" spans="1:19" s="66" customFormat="1" ht="13.5" hidden="1" customHeight="1" x14ac:dyDescent="0.25">
      <c r="A491" s="231"/>
      <c r="B491" s="239" t="s">
        <v>643</v>
      </c>
      <c r="C491" s="753">
        <v>0</v>
      </c>
      <c r="D491" s="753"/>
      <c r="E491" s="753">
        <v>0</v>
      </c>
      <c r="F491" s="753"/>
      <c r="G491" s="753">
        <v>0</v>
      </c>
      <c r="H491" s="753"/>
      <c r="I491" s="753">
        <v>0</v>
      </c>
      <c r="J491" s="753"/>
      <c r="K491" s="753">
        <v>0</v>
      </c>
      <c r="L491" s="753"/>
      <c r="M491" s="753">
        <v>0</v>
      </c>
      <c r="N491" s="753"/>
      <c r="O491" s="753">
        <v>0</v>
      </c>
      <c r="P491" s="753"/>
      <c r="Q491" s="753">
        <v>0</v>
      </c>
      <c r="R491" s="753"/>
      <c r="S491" s="232"/>
    </row>
    <row r="492" spans="1:19" s="66" customFormat="1" ht="13.5" hidden="1" customHeight="1" x14ac:dyDescent="0.25">
      <c r="A492" s="231"/>
      <c r="B492" s="239" t="s">
        <v>644</v>
      </c>
      <c r="C492" s="753">
        <v>0</v>
      </c>
      <c r="D492" s="753"/>
      <c r="E492" s="753"/>
      <c r="F492" s="753"/>
      <c r="G492" s="753"/>
      <c r="H492" s="753"/>
      <c r="I492" s="753"/>
      <c r="J492" s="753"/>
      <c r="K492" s="753"/>
      <c r="L492" s="753"/>
      <c r="M492" s="753"/>
      <c r="N492" s="753"/>
      <c r="O492" s="753"/>
      <c r="P492" s="753"/>
      <c r="Q492" s="753"/>
      <c r="R492" s="753"/>
      <c r="S492" s="232"/>
    </row>
    <row r="493" spans="1:19" s="66" customFormat="1" ht="13.5" hidden="1" customHeight="1" x14ac:dyDescent="0.25">
      <c r="A493" s="231"/>
      <c r="B493" s="228"/>
      <c r="C493" s="228"/>
      <c r="D493" s="228"/>
      <c r="E493" s="228"/>
      <c r="F493" s="228"/>
      <c r="G493" s="228"/>
      <c r="H493" s="228"/>
      <c r="I493" s="228"/>
      <c r="J493" s="228"/>
      <c r="K493" s="228"/>
      <c r="L493" s="228"/>
      <c r="M493" s="228"/>
      <c r="N493" s="228"/>
      <c r="O493" s="228"/>
      <c r="P493" s="228"/>
      <c r="Q493" s="228"/>
      <c r="R493" s="228"/>
      <c r="S493" s="232"/>
    </row>
    <row r="494" spans="1:19" s="66" customFormat="1" ht="13.5" hidden="1" customHeight="1" x14ac:dyDescent="0.25">
      <c r="A494" s="231"/>
      <c r="B494" s="228"/>
      <c r="C494" s="228"/>
      <c r="D494" s="228"/>
      <c r="E494" s="228"/>
      <c r="F494" s="228"/>
      <c r="G494" s="228"/>
      <c r="H494" s="228"/>
      <c r="I494" s="228"/>
      <c r="J494" s="228"/>
      <c r="K494" s="228"/>
      <c r="L494" s="228"/>
      <c r="M494" s="228"/>
      <c r="N494" s="228"/>
      <c r="O494" s="228"/>
      <c r="P494" s="228"/>
      <c r="Q494" s="228"/>
      <c r="R494" s="228"/>
      <c r="S494" s="232"/>
    </row>
    <row r="495" spans="1:19" s="66" customFormat="1" ht="13.5" hidden="1" customHeight="1" x14ac:dyDescent="0.25">
      <c r="A495" s="231"/>
      <c r="B495" s="228"/>
      <c r="C495" s="228"/>
      <c r="D495" s="228"/>
      <c r="E495" s="228"/>
      <c r="F495" s="228"/>
      <c r="G495" s="228"/>
      <c r="H495" s="228"/>
      <c r="I495" s="228"/>
      <c r="J495" s="228"/>
      <c r="K495" s="228"/>
      <c r="L495" s="228"/>
      <c r="M495" s="228"/>
      <c r="N495" s="228"/>
      <c r="O495" s="228"/>
      <c r="P495" s="228"/>
      <c r="Q495" s="228"/>
      <c r="R495" s="228"/>
      <c r="S495" s="232"/>
    </row>
    <row r="496" spans="1:19" s="66" customFormat="1" ht="13.5" hidden="1" customHeight="1" x14ac:dyDescent="0.3">
      <c r="A496" s="231"/>
      <c r="B496" s="250" t="s">
        <v>645</v>
      </c>
      <c r="C496" s="228"/>
      <c r="D496" s="228"/>
      <c r="E496" s="228"/>
      <c r="F496" s="228"/>
      <c r="G496" s="228"/>
      <c r="H496" s="228"/>
      <c r="I496" s="228"/>
      <c r="J496" s="228"/>
      <c r="K496" s="228"/>
      <c r="L496" s="228"/>
      <c r="M496" s="228"/>
      <c r="N496" s="228"/>
      <c r="O496" s="228"/>
      <c r="P496" s="228"/>
      <c r="Q496" s="228"/>
      <c r="R496" s="228"/>
      <c r="S496" s="232"/>
    </row>
    <row r="497" spans="1:19" s="66" customFormat="1" ht="13.5" hidden="1" customHeight="1" x14ac:dyDescent="0.25">
      <c r="A497" s="231"/>
      <c r="B497" s="228" t="s">
        <v>646</v>
      </c>
      <c r="C497" s="247">
        <v>0</v>
      </c>
      <c r="D497" s="249" t="s">
        <v>275</v>
      </c>
      <c r="E497" s="247">
        <v>0</v>
      </c>
      <c r="F497" s="249" t="s">
        <v>275</v>
      </c>
      <c r="G497" s="247">
        <v>0</v>
      </c>
      <c r="H497" s="249" t="s">
        <v>275</v>
      </c>
      <c r="I497" s="247">
        <v>0</v>
      </c>
      <c r="J497" s="249" t="s">
        <v>275</v>
      </c>
      <c r="K497" s="247">
        <v>0</v>
      </c>
      <c r="L497" s="249" t="s">
        <v>275</v>
      </c>
      <c r="M497" s="247">
        <v>0</v>
      </c>
      <c r="N497" s="249" t="s">
        <v>275</v>
      </c>
      <c r="O497" s="247">
        <v>0</v>
      </c>
      <c r="P497" s="249" t="s">
        <v>275</v>
      </c>
      <c r="Q497" s="247">
        <v>0</v>
      </c>
      <c r="R497" s="249" t="s">
        <v>275</v>
      </c>
      <c r="S497" s="232"/>
    </row>
    <row r="498" spans="1:19" s="66" customFormat="1" ht="13.5" hidden="1" customHeight="1" x14ac:dyDescent="0.25">
      <c r="A498" s="231"/>
      <c r="B498" s="228" t="s">
        <v>647</v>
      </c>
      <c r="C498" s="251">
        <v>0</v>
      </c>
      <c r="D498" s="252" t="s">
        <v>301</v>
      </c>
      <c r="E498" s="251">
        <v>0</v>
      </c>
      <c r="F498" s="252" t="s">
        <v>301</v>
      </c>
      <c r="G498" s="251">
        <v>0</v>
      </c>
      <c r="H498" s="252" t="s">
        <v>301</v>
      </c>
      <c r="I498" s="251">
        <v>0</v>
      </c>
      <c r="J498" s="252" t="s">
        <v>301</v>
      </c>
      <c r="K498" s="251">
        <v>0</v>
      </c>
      <c r="L498" s="252" t="s">
        <v>301</v>
      </c>
      <c r="M498" s="251">
        <v>0</v>
      </c>
      <c r="N498" s="252" t="s">
        <v>301</v>
      </c>
      <c r="O498" s="251">
        <v>0</v>
      </c>
      <c r="P498" s="252" t="s">
        <v>301</v>
      </c>
      <c r="Q498" s="251">
        <v>0</v>
      </c>
      <c r="R498" s="252" t="s">
        <v>301</v>
      </c>
      <c r="S498" s="232"/>
    </row>
    <row r="499" spans="1:19" s="66" customFormat="1" ht="13.5" hidden="1" customHeight="1" x14ac:dyDescent="0.25">
      <c r="A499" s="231"/>
      <c r="B499" s="228" t="s">
        <v>648</v>
      </c>
      <c r="C499" s="245">
        <v>0</v>
      </c>
      <c r="D499" s="253" t="s">
        <v>275</v>
      </c>
      <c r="E499" s="245">
        <v>0</v>
      </c>
      <c r="F499" s="253" t="s">
        <v>275</v>
      </c>
      <c r="G499" s="245">
        <v>0</v>
      </c>
      <c r="H499" s="253" t="s">
        <v>275</v>
      </c>
      <c r="I499" s="245">
        <v>0</v>
      </c>
      <c r="J499" s="253" t="s">
        <v>275</v>
      </c>
      <c r="K499" s="245">
        <v>0</v>
      </c>
      <c r="L499" s="253" t="s">
        <v>275</v>
      </c>
      <c r="M499" s="245">
        <v>0</v>
      </c>
      <c r="N499" s="253" t="s">
        <v>275</v>
      </c>
      <c r="O499" s="245">
        <v>0</v>
      </c>
      <c r="P499" s="253" t="s">
        <v>275</v>
      </c>
      <c r="Q499" s="245">
        <v>0</v>
      </c>
      <c r="R499" s="253" t="s">
        <v>275</v>
      </c>
      <c r="S499" s="232"/>
    </row>
    <row r="500" spans="1:19" s="66" customFormat="1" ht="13.5" hidden="1" customHeight="1" x14ac:dyDescent="0.25">
      <c r="A500" s="231"/>
      <c r="B500" s="228" t="s">
        <v>649</v>
      </c>
      <c r="C500" s="254">
        <v>0</v>
      </c>
      <c r="D500" s="253" t="s">
        <v>301</v>
      </c>
      <c r="E500" s="254">
        <v>0</v>
      </c>
      <c r="F500" s="253" t="s">
        <v>301</v>
      </c>
      <c r="G500" s="254">
        <v>0</v>
      </c>
      <c r="H500" s="253" t="s">
        <v>301</v>
      </c>
      <c r="I500" s="254">
        <v>0</v>
      </c>
      <c r="J500" s="253" t="s">
        <v>301</v>
      </c>
      <c r="K500" s="254">
        <v>0</v>
      </c>
      <c r="L500" s="253" t="s">
        <v>301</v>
      </c>
      <c r="M500" s="254">
        <v>0</v>
      </c>
      <c r="N500" s="253" t="s">
        <v>301</v>
      </c>
      <c r="O500" s="254">
        <v>0</v>
      </c>
      <c r="P500" s="253" t="s">
        <v>301</v>
      </c>
      <c r="Q500" s="254">
        <v>0</v>
      </c>
      <c r="R500" s="253" t="s">
        <v>301</v>
      </c>
      <c r="S500" s="232"/>
    </row>
    <row r="501" spans="1:19" s="66" customFormat="1" ht="13.5" hidden="1" customHeight="1" x14ac:dyDescent="0.25">
      <c r="A501" s="231"/>
      <c r="B501" s="228" t="s">
        <v>650</v>
      </c>
      <c r="C501" s="245">
        <v>0</v>
      </c>
      <c r="D501" s="253" t="s">
        <v>57</v>
      </c>
      <c r="E501" s="245">
        <v>0</v>
      </c>
      <c r="F501" s="253" t="s">
        <v>57</v>
      </c>
      <c r="G501" s="245">
        <v>0</v>
      </c>
      <c r="H501" s="253" t="s">
        <v>57</v>
      </c>
      <c r="I501" s="245">
        <v>0</v>
      </c>
      <c r="J501" s="253" t="s">
        <v>57</v>
      </c>
      <c r="K501" s="245">
        <v>0</v>
      </c>
      <c r="L501" s="253" t="s">
        <v>57</v>
      </c>
      <c r="M501" s="245">
        <v>0</v>
      </c>
      <c r="N501" s="253" t="s">
        <v>57</v>
      </c>
      <c r="O501" s="245">
        <v>0</v>
      </c>
      <c r="P501" s="253" t="s">
        <v>57</v>
      </c>
      <c r="Q501" s="245">
        <v>0</v>
      </c>
      <c r="R501" s="253" t="s">
        <v>57</v>
      </c>
      <c r="S501" s="232"/>
    </row>
    <row r="502" spans="1:19" s="66" customFormat="1" ht="13.5" hidden="1" customHeight="1" x14ac:dyDescent="0.25">
      <c r="A502" s="231"/>
      <c r="B502" s="228"/>
      <c r="C502" s="228"/>
      <c r="D502" s="228"/>
      <c r="E502" s="228"/>
      <c r="F502" s="228"/>
      <c r="G502" s="228"/>
      <c r="H502" s="228"/>
      <c r="I502" s="228"/>
      <c r="J502" s="228"/>
      <c r="K502" s="228"/>
      <c r="L502" s="228"/>
      <c r="M502" s="228"/>
      <c r="N502" s="228"/>
      <c r="O502" s="228"/>
      <c r="P502" s="228"/>
      <c r="Q502" s="228"/>
      <c r="R502" s="228"/>
      <c r="S502" s="232"/>
    </row>
    <row r="503" spans="1:19" s="66" customFormat="1" ht="13.5" hidden="1" customHeight="1" x14ac:dyDescent="0.25">
      <c r="A503" s="231"/>
      <c r="B503" s="228"/>
      <c r="C503" s="228"/>
      <c r="D503" s="228"/>
      <c r="E503" s="228"/>
      <c r="F503" s="228"/>
      <c r="G503" s="228"/>
      <c r="H503" s="228"/>
      <c r="I503" s="228"/>
      <c r="J503" s="228"/>
      <c r="K503" s="228"/>
      <c r="L503" s="228"/>
      <c r="M503" s="228"/>
      <c r="N503" s="228"/>
      <c r="O503" s="228"/>
      <c r="P503" s="228"/>
      <c r="Q503" s="228"/>
      <c r="R503" s="228"/>
      <c r="S503" s="232"/>
    </row>
    <row r="504" spans="1:19" s="66" customFormat="1" ht="13.5" hidden="1" customHeight="1" x14ac:dyDescent="0.25">
      <c r="A504" s="231"/>
      <c r="B504" s="228"/>
      <c r="C504" s="228"/>
      <c r="D504" s="228"/>
      <c r="E504" s="228"/>
      <c r="F504" s="228"/>
      <c r="G504" s="228"/>
      <c r="H504" s="228"/>
      <c r="I504" s="228"/>
      <c r="J504" s="228"/>
      <c r="K504" s="228"/>
      <c r="L504" s="228"/>
      <c r="M504" s="228"/>
      <c r="N504" s="228"/>
      <c r="O504" s="228"/>
      <c r="P504" s="228"/>
      <c r="Q504" s="228"/>
      <c r="R504" s="228"/>
      <c r="S504" s="232"/>
    </row>
    <row r="505" spans="1:19" s="66" customFormat="1" ht="13.5" hidden="1" customHeight="1" x14ac:dyDescent="0.3">
      <c r="A505" s="231"/>
      <c r="B505" s="250" t="s">
        <v>651</v>
      </c>
      <c r="C505" s="228"/>
      <c r="D505" s="228"/>
      <c r="E505" s="228"/>
      <c r="F505" s="228"/>
      <c r="G505" s="228"/>
      <c r="H505" s="228"/>
      <c r="I505" s="228"/>
      <c r="J505" s="228"/>
      <c r="K505" s="228"/>
      <c r="L505" s="228"/>
      <c r="M505" s="228"/>
      <c r="N505" s="228"/>
      <c r="O505" s="228"/>
      <c r="P505" s="228"/>
      <c r="Q505" s="228"/>
      <c r="R505" s="228"/>
      <c r="S505" s="232"/>
    </row>
    <row r="506" spans="1:19" s="66" customFormat="1" ht="13.5" hidden="1" customHeight="1" x14ac:dyDescent="0.3">
      <c r="A506" s="231"/>
      <c r="B506" s="228" t="s">
        <v>652</v>
      </c>
      <c r="C506" s="228" t="b">
        <v>0</v>
      </c>
      <c r="D506" s="255"/>
      <c r="E506" s="228" t="b">
        <v>0</v>
      </c>
      <c r="F506" s="255"/>
      <c r="G506" s="228" t="b">
        <v>0</v>
      </c>
      <c r="H506" s="255"/>
      <c r="I506" s="228" t="b">
        <v>0</v>
      </c>
      <c r="J506" s="255"/>
      <c r="K506" s="228" t="b">
        <v>0</v>
      </c>
      <c r="L506" s="255"/>
      <c r="M506" s="228" t="b">
        <v>0</v>
      </c>
      <c r="N506" s="255"/>
      <c r="O506" s="228" t="b">
        <v>0</v>
      </c>
      <c r="P506" s="255"/>
      <c r="Q506" s="228" t="b">
        <v>0</v>
      </c>
      <c r="R506" s="255"/>
      <c r="S506" s="232"/>
    </row>
    <row r="507" spans="1:19" s="66" customFormat="1" ht="13.5" hidden="1" customHeight="1" x14ac:dyDescent="0.25">
      <c r="A507" s="231"/>
      <c r="B507" s="239" t="s">
        <v>653</v>
      </c>
      <c r="C507" s="251">
        <v>12</v>
      </c>
      <c r="D507" s="252" t="s">
        <v>301</v>
      </c>
      <c r="E507" s="251">
        <v>12</v>
      </c>
      <c r="F507" s="252" t="s">
        <v>301</v>
      </c>
      <c r="G507" s="251">
        <v>12</v>
      </c>
      <c r="H507" s="252" t="s">
        <v>301</v>
      </c>
      <c r="I507" s="251">
        <v>12</v>
      </c>
      <c r="J507" s="252" t="s">
        <v>301</v>
      </c>
      <c r="K507" s="251">
        <v>12</v>
      </c>
      <c r="L507" s="252" t="s">
        <v>301</v>
      </c>
      <c r="M507" s="251">
        <v>12</v>
      </c>
      <c r="N507" s="252" t="s">
        <v>301</v>
      </c>
      <c r="O507" s="251">
        <v>12</v>
      </c>
      <c r="P507" s="252" t="s">
        <v>301</v>
      </c>
      <c r="Q507" s="251">
        <v>12</v>
      </c>
      <c r="R507" s="252" t="s">
        <v>301</v>
      </c>
      <c r="S507" s="232"/>
    </row>
    <row r="508" spans="1:19" s="66" customFormat="1" ht="13.5" hidden="1" customHeight="1" x14ac:dyDescent="0.25">
      <c r="A508" s="231"/>
      <c r="B508" s="228"/>
      <c r="C508" s="228"/>
      <c r="D508" s="228"/>
      <c r="E508" s="228"/>
      <c r="F508" s="228"/>
      <c r="G508" s="228"/>
      <c r="H508" s="228"/>
      <c r="I508" s="228"/>
      <c r="J508" s="228"/>
      <c r="K508" s="228"/>
      <c r="L508" s="228"/>
      <c r="M508" s="228"/>
      <c r="N508" s="228"/>
      <c r="O508" s="228"/>
      <c r="P508" s="228"/>
      <c r="Q508" s="228"/>
      <c r="R508" s="228"/>
      <c r="S508" s="232"/>
    </row>
    <row r="509" spans="1:19" s="66" customFormat="1" ht="13.5" hidden="1" customHeight="1" x14ac:dyDescent="0.25">
      <c r="A509" s="231"/>
      <c r="B509" s="228"/>
      <c r="C509" s="228"/>
      <c r="D509" s="228"/>
      <c r="E509" s="228"/>
      <c r="F509" s="228"/>
      <c r="G509" s="228"/>
      <c r="H509" s="228"/>
      <c r="I509" s="228"/>
      <c r="J509" s="228"/>
      <c r="K509" s="228"/>
      <c r="L509" s="228"/>
      <c r="M509" s="228"/>
      <c r="N509" s="228"/>
      <c r="O509" s="228"/>
      <c r="P509" s="228"/>
      <c r="Q509" s="228"/>
      <c r="R509" s="228"/>
      <c r="S509" s="232"/>
    </row>
    <row r="510" spans="1:19" s="66" customFormat="1" ht="13.5" hidden="1" customHeight="1" x14ac:dyDescent="0.25">
      <c r="A510" s="231"/>
      <c r="B510" s="228"/>
      <c r="C510" s="228"/>
      <c r="D510" s="228"/>
      <c r="E510" s="228"/>
      <c r="F510" s="228"/>
      <c r="G510" s="228"/>
      <c r="H510" s="228"/>
      <c r="I510" s="228"/>
      <c r="J510" s="228"/>
      <c r="K510" s="228"/>
      <c r="L510" s="228"/>
      <c r="M510" s="228"/>
      <c r="N510" s="228"/>
      <c r="O510" s="228"/>
      <c r="P510" s="228"/>
      <c r="Q510" s="228"/>
      <c r="R510" s="228"/>
      <c r="S510" s="232"/>
    </row>
    <row r="511" spans="1:19" s="66" customFormat="1" ht="13.5" hidden="1" customHeight="1" x14ac:dyDescent="0.3">
      <c r="A511" s="231"/>
      <c r="B511" s="250" t="s">
        <v>654</v>
      </c>
      <c r="C511" s="228"/>
      <c r="D511" s="228"/>
      <c r="E511" s="228"/>
      <c r="F511" s="228"/>
      <c r="G511" s="228"/>
      <c r="H511" s="228"/>
      <c r="I511" s="228"/>
      <c r="J511" s="228"/>
      <c r="K511" s="228"/>
      <c r="L511" s="228"/>
      <c r="M511" s="228"/>
      <c r="N511" s="228"/>
      <c r="O511" s="228"/>
      <c r="P511" s="228"/>
      <c r="Q511" s="228"/>
      <c r="R511" s="228"/>
      <c r="S511" s="232"/>
    </row>
    <row r="512" spans="1:19" s="66" customFormat="1" ht="13.5" hidden="1" customHeight="1" x14ac:dyDescent="0.25">
      <c r="A512" s="231"/>
      <c r="B512" s="77" t="s">
        <v>655</v>
      </c>
      <c r="C512" s="256">
        <v>1.6E-2</v>
      </c>
      <c r="D512" s="257" t="s">
        <v>57</v>
      </c>
      <c r="E512" s="256">
        <v>1.2E-2</v>
      </c>
      <c r="F512" s="257" t="s">
        <v>57</v>
      </c>
      <c r="G512" s="256">
        <v>1.6E-2</v>
      </c>
      <c r="H512" s="257" t="s">
        <v>57</v>
      </c>
      <c r="I512" s="256">
        <v>1.2E-2</v>
      </c>
      <c r="J512" s="257" t="s">
        <v>57</v>
      </c>
      <c r="K512" s="256">
        <v>1.6E-2</v>
      </c>
      <c r="L512" s="257" t="s">
        <v>57</v>
      </c>
      <c r="M512" s="256">
        <v>1.2E-2</v>
      </c>
      <c r="N512" s="257" t="s">
        <v>57</v>
      </c>
      <c r="O512" s="256">
        <v>1.6E-2</v>
      </c>
      <c r="P512" s="257" t="s">
        <v>57</v>
      </c>
      <c r="Q512" s="256">
        <v>1.2E-2</v>
      </c>
      <c r="R512" s="257" t="s">
        <v>57</v>
      </c>
      <c r="S512" s="232"/>
    </row>
    <row r="513" spans="1:21" s="66" customFormat="1" ht="13.5" hidden="1" customHeight="1" x14ac:dyDescent="0.25">
      <c r="A513" s="231"/>
      <c r="B513" s="258" t="s">
        <v>656</v>
      </c>
      <c r="C513" s="259">
        <v>5.3333333333333332E-3</v>
      </c>
      <c r="D513" s="257" t="s">
        <v>57</v>
      </c>
      <c r="E513" s="259">
        <v>5.3333333333333332E-3</v>
      </c>
      <c r="F513" s="257" t="s">
        <v>57</v>
      </c>
      <c r="G513" s="259">
        <v>5.3333333333333332E-3</v>
      </c>
      <c r="H513" s="257" t="s">
        <v>57</v>
      </c>
      <c r="I513" s="259">
        <v>5.3333333333333332E-3</v>
      </c>
      <c r="J513" s="257" t="s">
        <v>57</v>
      </c>
      <c r="K513" s="259">
        <v>5.3333333333333332E-3</v>
      </c>
      <c r="L513" s="257" t="s">
        <v>57</v>
      </c>
      <c r="M513" s="259">
        <v>5.3333333333333332E-3</v>
      </c>
      <c r="N513" s="257" t="s">
        <v>57</v>
      </c>
      <c r="O513" s="259">
        <v>5.3333333333333332E-3</v>
      </c>
      <c r="P513" s="257" t="s">
        <v>57</v>
      </c>
      <c r="Q513" s="259">
        <v>5.3333333333333332E-3</v>
      </c>
      <c r="R513" s="257" t="s">
        <v>57</v>
      </c>
      <c r="S513" s="232"/>
    </row>
    <row r="514" spans="1:21" s="66" customFormat="1" ht="13.5" hidden="1" customHeight="1" x14ac:dyDescent="0.25">
      <c r="A514" s="231"/>
      <c r="B514" s="228" t="s">
        <v>657</v>
      </c>
      <c r="C514" s="260">
        <v>900</v>
      </c>
      <c r="D514" s="261" t="s">
        <v>268</v>
      </c>
      <c r="E514" s="260">
        <v>1</v>
      </c>
      <c r="F514" s="261" t="s">
        <v>268</v>
      </c>
      <c r="G514" s="260">
        <v>900</v>
      </c>
      <c r="H514" s="261" t="s">
        <v>268</v>
      </c>
      <c r="I514" s="260">
        <v>1</v>
      </c>
      <c r="J514" s="261" t="s">
        <v>268</v>
      </c>
      <c r="K514" s="260">
        <v>899</v>
      </c>
      <c r="L514" s="261" t="s">
        <v>268</v>
      </c>
      <c r="M514" s="260">
        <v>1</v>
      </c>
      <c r="N514" s="261" t="s">
        <v>268</v>
      </c>
      <c r="O514" s="260">
        <v>899</v>
      </c>
      <c r="P514" s="261" t="s">
        <v>268</v>
      </c>
      <c r="Q514" s="260">
        <v>1</v>
      </c>
      <c r="R514" s="261" t="s">
        <v>268</v>
      </c>
      <c r="S514" s="232"/>
    </row>
    <row r="515" spans="1:21" s="66" customFormat="1" ht="13.5" hidden="1" customHeight="1" x14ac:dyDescent="0.25">
      <c r="A515" s="231"/>
      <c r="B515" s="228" t="s">
        <v>658</v>
      </c>
      <c r="C515" s="260">
        <v>900</v>
      </c>
      <c r="D515" s="261" t="s">
        <v>268</v>
      </c>
      <c r="E515" s="260">
        <v>1</v>
      </c>
      <c r="F515" s="261" t="s">
        <v>268</v>
      </c>
      <c r="G515" s="260">
        <v>900</v>
      </c>
      <c r="H515" s="261" t="s">
        <v>268</v>
      </c>
      <c r="I515" s="260">
        <v>1</v>
      </c>
      <c r="J515" s="261" t="s">
        <v>268</v>
      </c>
      <c r="K515" s="260">
        <v>899</v>
      </c>
      <c r="L515" s="261" t="s">
        <v>268</v>
      </c>
      <c r="M515" s="260">
        <v>1</v>
      </c>
      <c r="N515" s="261" t="s">
        <v>268</v>
      </c>
      <c r="O515" s="260">
        <v>899</v>
      </c>
      <c r="P515" s="261" t="s">
        <v>268</v>
      </c>
      <c r="Q515" s="260">
        <v>1</v>
      </c>
      <c r="R515" s="261" t="s">
        <v>268</v>
      </c>
      <c r="S515" s="232"/>
    </row>
    <row r="516" spans="1:21" s="66" customFormat="1" ht="13.5" hidden="1" customHeight="1" x14ac:dyDescent="0.25">
      <c r="A516" s="231"/>
      <c r="B516" s="228" t="s">
        <v>659</v>
      </c>
      <c r="C516" s="262">
        <v>0</v>
      </c>
      <c r="D516" s="263" t="s">
        <v>274</v>
      </c>
      <c r="E516" s="262">
        <v>0</v>
      </c>
      <c r="F516" s="263" t="s">
        <v>274</v>
      </c>
      <c r="G516" s="262">
        <v>0</v>
      </c>
      <c r="H516" s="263" t="s">
        <v>274</v>
      </c>
      <c r="I516" s="262">
        <v>0</v>
      </c>
      <c r="J516" s="263" t="s">
        <v>274</v>
      </c>
      <c r="K516" s="262">
        <v>0</v>
      </c>
      <c r="L516" s="263" t="s">
        <v>274</v>
      </c>
      <c r="M516" s="262">
        <v>0</v>
      </c>
      <c r="N516" s="263" t="s">
        <v>274</v>
      </c>
      <c r="O516" s="262">
        <v>0</v>
      </c>
      <c r="P516" s="263" t="s">
        <v>274</v>
      </c>
      <c r="Q516" s="262">
        <v>0</v>
      </c>
      <c r="R516" s="263" t="s">
        <v>274</v>
      </c>
      <c r="S516" s="232"/>
    </row>
    <row r="517" spans="1:21" s="66" customFormat="1" ht="13.5" hidden="1" customHeight="1" x14ac:dyDescent="0.25">
      <c r="A517" s="231"/>
      <c r="B517" s="228" t="s">
        <v>660</v>
      </c>
      <c r="C517" s="262">
        <v>0</v>
      </c>
      <c r="D517" s="263" t="s">
        <v>274</v>
      </c>
      <c r="E517" s="262">
        <v>0</v>
      </c>
      <c r="F517" s="263" t="s">
        <v>274</v>
      </c>
      <c r="G517" s="262">
        <v>0</v>
      </c>
      <c r="H517" s="263" t="s">
        <v>274</v>
      </c>
      <c r="I517" s="262">
        <v>0</v>
      </c>
      <c r="J517" s="263" t="s">
        <v>274</v>
      </c>
      <c r="K517" s="262">
        <v>0</v>
      </c>
      <c r="L517" s="263" t="s">
        <v>274</v>
      </c>
      <c r="M517" s="262">
        <v>0</v>
      </c>
      <c r="N517" s="263" t="s">
        <v>274</v>
      </c>
      <c r="O517" s="262">
        <v>0</v>
      </c>
      <c r="P517" s="263" t="s">
        <v>274</v>
      </c>
      <c r="Q517" s="262">
        <v>0</v>
      </c>
      <c r="R517" s="263" t="s">
        <v>274</v>
      </c>
      <c r="S517" s="232"/>
    </row>
    <row r="518" spans="1:21" s="66" customFormat="1" ht="13.5" hidden="1" customHeight="1" x14ac:dyDescent="0.25">
      <c r="A518" s="231"/>
      <c r="B518" s="228"/>
      <c r="C518" s="262"/>
      <c r="D518" s="263"/>
      <c r="E518" s="262"/>
      <c r="F518" s="263"/>
      <c r="G518" s="262"/>
      <c r="H518" s="263"/>
      <c r="I518" s="262"/>
      <c r="J518" s="263"/>
      <c r="K518" s="262"/>
      <c r="L518" s="263"/>
      <c r="M518" s="262"/>
      <c r="N518" s="263"/>
      <c r="O518" s="262"/>
      <c r="P518" s="263"/>
      <c r="Q518" s="262"/>
      <c r="R518" s="263"/>
      <c r="S518" s="232"/>
    </row>
    <row r="519" spans="1:21" s="66" customFormat="1" ht="13.5" hidden="1" customHeight="1" x14ac:dyDescent="0.25">
      <c r="A519" s="231"/>
      <c r="B519" s="228"/>
      <c r="C519" s="262"/>
      <c r="D519" s="263"/>
      <c r="E519" s="262"/>
      <c r="F519" s="263"/>
      <c r="G519" s="262"/>
      <c r="H519" s="263"/>
      <c r="I519" s="262"/>
      <c r="J519" s="263"/>
      <c r="K519" s="262"/>
      <c r="L519" s="263"/>
      <c r="M519" s="262"/>
      <c r="N519" s="263"/>
      <c r="O519" s="262"/>
      <c r="P519" s="263"/>
      <c r="Q519" s="262"/>
      <c r="R519" s="263"/>
      <c r="S519" s="232"/>
    </row>
    <row r="520" spans="1:21" s="66" customFormat="1" ht="13.5" hidden="1" customHeight="1" x14ac:dyDescent="0.3">
      <c r="A520" s="231"/>
      <c r="B520" s="228"/>
      <c r="C520" s="228"/>
      <c r="D520" s="255"/>
      <c r="E520" s="228"/>
      <c r="F520" s="255"/>
      <c r="G520" s="228"/>
      <c r="H520" s="255"/>
      <c r="I520" s="228"/>
      <c r="J520" s="255"/>
      <c r="K520" s="228"/>
      <c r="L520" s="255"/>
      <c r="M520" s="228"/>
      <c r="N520" s="255"/>
      <c r="O520" s="228"/>
      <c r="P520" s="255"/>
      <c r="Q520" s="228"/>
      <c r="R520" s="255"/>
      <c r="S520" s="232"/>
    </row>
    <row r="521" spans="1:21" s="66" customFormat="1" ht="13.5" hidden="1" customHeight="1" x14ac:dyDescent="0.3">
      <c r="A521" s="231"/>
      <c r="B521" s="228"/>
      <c r="C521" s="228"/>
      <c r="D521" s="255"/>
      <c r="E521" s="228"/>
      <c r="F521" s="255"/>
      <c r="G521" s="228"/>
      <c r="H521" s="255"/>
      <c r="I521" s="228"/>
      <c r="J521" s="255"/>
      <c r="K521" s="228"/>
      <c r="L521" s="255"/>
      <c r="M521" s="228"/>
      <c r="N521" s="255"/>
      <c r="O521" s="228"/>
      <c r="P521" s="255"/>
      <c r="Q521" s="228"/>
      <c r="R521" s="255"/>
      <c r="S521" s="232"/>
    </row>
    <row r="522" spans="1:21" s="66" customFormat="1" ht="13.5" customHeight="1" thickBot="1" x14ac:dyDescent="0.3">
      <c r="A522" s="84"/>
      <c r="B522" s="42"/>
      <c r="C522" s="264"/>
      <c r="D522" s="265"/>
      <c r="E522" s="264"/>
      <c r="F522" s="265"/>
      <c r="G522" s="264"/>
      <c r="H522" s="265"/>
      <c r="I522" s="264"/>
      <c r="J522" s="265"/>
      <c r="K522" s="264"/>
      <c r="L522" s="265"/>
      <c r="M522" s="264"/>
      <c r="N522" s="265"/>
      <c r="O522" s="264"/>
      <c r="P522" s="265"/>
      <c r="Q522" s="264"/>
      <c r="R522" s="265"/>
      <c r="S522" s="87"/>
    </row>
    <row r="523" spans="1:21" s="66" customFormat="1" ht="16.5" customHeight="1" thickBot="1" x14ac:dyDescent="0.4">
      <c r="A523" s="84"/>
      <c r="B523" s="93" t="s">
        <v>661</v>
      </c>
      <c r="C523" s="739" t="b">
        <f>$C$80</f>
        <v>1</v>
      </c>
      <c r="D523" s="740"/>
      <c r="E523" s="740"/>
      <c r="F523" s="740"/>
      <c r="G523" s="740"/>
      <c r="H523" s="740"/>
      <c r="I523" s="740"/>
      <c r="J523" s="740"/>
      <c r="K523" s="740"/>
      <c r="L523" s="740"/>
      <c r="M523" s="740"/>
      <c r="N523" s="740"/>
      <c r="O523" s="740"/>
      <c r="P523" s="740"/>
      <c r="Q523" s="740"/>
      <c r="R523" s="741"/>
      <c r="S523" s="266"/>
    </row>
    <row r="524" spans="1:21" s="66" customFormat="1" ht="16.5" customHeight="1" thickBot="1" x14ac:dyDescent="0.3">
      <c r="A524" s="84"/>
      <c r="B524" s="96"/>
      <c r="C524" s="729" t="str">
        <f>C$82</f>
        <v>Loop1</v>
      </c>
      <c r="D524" s="730"/>
      <c r="E524" s="730" t="str">
        <f>E$82</f>
        <v>Stub1_2</v>
      </c>
      <c r="F524" s="731"/>
      <c r="G524" s="729" t="str">
        <f>G$82</f>
        <v>Stub2_1</v>
      </c>
      <c r="H524" s="730"/>
      <c r="I524" s="730" t="str">
        <f>I$82</f>
        <v>Stub2_2</v>
      </c>
      <c r="J524" s="731"/>
      <c r="K524" s="729" t="str">
        <f>K$82</f>
        <v>Loop3</v>
      </c>
      <c r="L524" s="730"/>
      <c r="M524" s="730" t="str">
        <f>M$82</f>
        <v>Stub3_2</v>
      </c>
      <c r="N524" s="731"/>
      <c r="O524" s="729" t="str">
        <f>O$82</f>
        <v>Loop4</v>
      </c>
      <c r="P524" s="730"/>
      <c r="Q524" s="730" t="str">
        <f>Q$82</f>
        <v>Stub4_2</v>
      </c>
      <c r="R524" s="731"/>
      <c r="S524" s="87"/>
    </row>
    <row r="525" spans="1:21" s="66" customFormat="1" ht="13.5" hidden="1" customHeight="1" x14ac:dyDescent="0.25">
      <c r="A525" s="231"/>
      <c r="B525" s="228"/>
      <c r="C525" s="267"/>
      <c r="D525" s="77"/>
      <c r="E525" s="267"/>
      <c r="F525" s="77"/>
      <c r="G525" s="267"/>
      <c r="H525" s="77"/>
      <c r="I525" s="267"/>
      <c r="J525" s="77"/>
      <c r="K525" s="267"/>
      <c r="L525" s="77"/>
      <c r="M525" s="267"/>
      <c r="N525" s="77"/>
      <c r="O525" s="267"/>
      <c r="P525" s="77"/>
      <c r="Q525" s="267"/>
      <c r="R525" s="77"/>
      <c r="S525" s="232"/>
    </row>
    <row r="526" spans="1:21" s="66" customFormat="1" ht="13.5" hidden="1" customHeight="1" x14ac:dyDescent="0.25">
      <c r="A526" s="231"/>
      <c r="B526" s="228" t="s">
        <v>662</v>
      </c>
      <c r="C526" s="267">
        <v>0</v>
      </c>
      <c r="D526" s="77" t="s">
        <v>301</v>
      </c>
      <c r="E526" s="267">
        <v>0</v>
      </c>
      <c r="F526" s="77" t="s">
        <v>301</v>
      </c>
      <c r="G526" s="267">
        <v>0</v>
      </c>
      <c r="H526" s="77" t="s">
        <v>301</v>
      </c>
      <c r="I526" s="267">
        <v>0</v>
      </c>
      <c r="J526" s="77" t="s">
        <v>301</v>
      </c>
      <c r="K526" s="267">
        <v>0</v>
      </c>
      <c r="L526" s="77" t="s">
        <v>301</v>
      </c>
      <c r="M526" s="267">
        <v>0</v>
      </c>
      <c r="N526" s="77" t="s">
        <v>301</v>
      </c>
      <c r="O526" s="267">
        <v>0</v>
      </c>
      <c r="P526" s="77" t="s">
        <v>301</v>
      </c>
      <c r="Q526" s="267">
        <v>0</v>
      </c>
      <c r="R526" s="77" t="s">
        <v>301</v>
      </c>
      <c r="S526" s="232"/>
      <c r="U526" s="42"/>
    </row>
    <row r="527" spans="1:21" s="66" customFormat="1" ht="13.5" hidden="1" customHeight="1" x14ac:dyDescent="0.25">
      <c r="A527" s="231"/>
      <c r="B527" s="228" t="s">
        <v>663</v>
      </c>
      <c r="C527" s="267">
        <v>0</v>
      </c>
      <c r="D527" s="77" t="s">
        <v>301</v>
      </c>
      <c r="E527" s="267">
        <v>0</v>
      </c>
      <c r="F527" s="77" t="s">
        <v>301</v>
      </c>
      <c r="G527" s="267">
        <v>0</v>
      </c>
      <c r="H527" s="77" t="s">
        <v>301</v>
      </c>
      <c r="I527" s="267">
        <v>0</v>
      </c>
      <c r="J527" s="77" t="s">
        <v>301</v>
      </c>
      <c r="K527" s="267">
        <v>0</v>
      </c>
      <c r="L527" s="77" t="s">
        <v>301</v>
      </c>
      <c r="M527" s="267">
        <v>0</v>
      </c>
      <c r="N527" s="77" t="s">
        <v>301</v>
      </c>
      <c r="O527" s="267">
        <v>0</v>
      </c>
      <c r="P527" s="77" t="s">
        <v>301</v>
      </c>
      <c r="Q527" s="267">
        <v>0</v>
      </c>
      <c r="R527" s="77" t="s">
        <v>301</v>
      </c>
      <c r="S527" s="232"/>
      <c r="U527" s="42"/>
    </row>
    <row r="528" spans="1:21" s="66" customFormat="1" ht="13.5" hidden="1" customHeight="1" x14ac:dyDescent="0.25">
      <c r="A528" s="231"/>
      <c r="B528" s="228" t="s">
        <v>664</v>
      </c>
      <c r="C528" s="262">
        <v>21.6</v>
      </c>
      <c r="D528" s="263" t="s">
        <v>274</v>
      </c>
      <c r="E528" s="262">
        <v>0.125</v>
      </c>
      <c r="F528" s="263" t="s">
        <v>274</v>
      </c>
      <c r="G528" s="262">
        <v>21.6</v>
      </c>
      <c r="H528" s="263" t="s">
        <v>274</v>
      </c>
      <c r="I528" s="262">
        <v>0.125</v>
      </c>
      <c r="J528" s="263" t="s">
        <v>274</v>
      </c>
      <c r="K528" s="262">
        <v>21.576000000000001</v>
      </c>
      <c r="L528" s="263" t="s">
        <v>274</v>
      </c>
      <c r="M528" s="262">
        <v>0.125</v>
      </c>
      <c r="N528" s="263" t="s">
        <v>274</v>
      </c>
      <c r="O528" s="262">
        <v>21.576000000000001</v>
      </c>
      <c r="P528" s="263" t="s">
        <v>274</v>
      </c>
      <c r="Q528" s="262">
        <v>0.125</v>
      </c>
      <c r="R528" s="263" t="s">
        <v>274</v>
      </c>
      <c r="S528" s="232"/>
      <c r="U528" s="42"/>
    </row>
    <row r="529" spans="1:21" s="66" customFormat="1" ht="13.5" hidden="1" customHeight="1" x14ac:dyDescent="0.25">
      <c r="A529" s="231"/>
      <c r="B529" s="228" t="s">
        <v>665</v>
      </c>
      <c r="C529" s="268">
        <v>0</v>
      </c>
      <c r="D529" s="77" t="s">
        <v>57</v>
      </c>
      <c r="E529" s="268">
        <v>0</v>
      </c>
      <c r="F529" s="77" t="s">
        <v>57</v>
      </c>
      <c r="G529" s="268">
        <v>0</v>
      </c>
      <c r="H529" s="77" t="s">
        <v>57</v>
      </c>
      <c r="I529" s="268">
        <v>0</v>
      </c>
      <c r="J529" s="77" t="s">
        <v>57</v>
      </c>
      <c r="K529" s="268">
        <v>0</v>
      </c>
      <c r="L529" s="77" t="s">
        <v>57</v>
      </c>
      <c r="M529" s="268">
        <v>0</v>
      </c>
      <c r="N529" s="77" t="s">
        <v>57</v>
      </c>
      <c r="O529" s="268">
        <v>0</v>
      </c>
      <c r="P529" s="77" t="s">
        <v>57</v>
      </c>
      <c r="Q529" s="268">
        <v>0</v>
      </c>
      <c r="R529" s="77" t="s">
        <v>57</v>
      </c>
      <c r="S529" s="232"/>
      <c r="U529" s="42"/>
    </row>
    <row r="530" spans="1:21" s="66" customFormat="1" ht="13.5" hidden="1" customHeight="1" x14ac:dyDescent="0.25">
      <c r="A530" s="231"/>
      <c r="B530" s="228" t="s">
        <v>666</v>
      </c>
      <c r="C530" s="267">
        <v>0</v>
      </c>
      <c r="D530" s="269" t="s">
        <v>301</v>
      </c>
      <c r="E530" s="267">
        <v>0</v>
      </c>
      <c r="F530" s="269" t="s">
        <v>301</v>
      </c>
      <c r="G530" s="267">
        <v>0</v>
      </c>
      <c r="H530" s="269" t="s">
        <v>301</v>
      </c>
      <c r="I530" s="267">
        <v>0</v>
      </c>
      <c r="J530" s="269" t="s">
        <v>301</v>
      </c>
      <c r="K530" s="267">
        <v>0</v>
      </c>
      <c r="L530" s="269" t="s">
        <v>301</v>
      </c>
      <c r="M530" s="267">
        <v>0</v>
      </c>
      <c r="N530" s="269" t="s">
        <v>301</v>
      </c>
      <c r="O530" s="267">
        <v>0</v>
      </c>
      <c r="P530" s="269" t="s">
        <v>301</v>
      </c>
      <c r="Q530" s="267">
        <v>0</v>
      </c>
      <c r="R530" s="269" t="s">
        <v>301</v>
      </c>
      <c r="S530" s="232"/>
      <c r="U530" s="42"/>
    </row>
    <row r="531" spans="1:21" s="66" customFormat="1" ht="13.5" hidden="1" customHeight="1" x14ac:dyDescent="0.25">
      <c r="A531" s="231"/>
      <c r="B531" s="228" t="s">
        <v>667</v>
      </c>
      <c r="C531" s="251">
        <v>0</v>
      </c>
      <c r="D531" s="263" t="s">
        <v>301</v>
      </c>
      <c r="E531" s="251">
        <v>0</v>
      </c>
      <c r="F531" s="263" t="s">
        <v>301</v>
      </c>
      <c r="G531" s="251">
        <v>0</v>
      </c>
      <c r="H531" s="263" t="s">
        <v>301</v>
      </c>
      <c r="I531" s="251">
        <v>0</v>
      </c>
      <c r="J531" s="263" t="s">
        <v>301</v>
      </c>
      <c r="K531" s="251">
        <v>0</v>
      </c>
      <c r="L531" s="263" t="s">
        <v>301</v>
      </c>
      <c r="M531" s="251">
        <v>0</v>
      </c>
      <c r="N531" s="263" t="s">
        <v>301</v>
      </c>
      <c r="O531" s="251">
        <v>0</v>
      </c>
      <c r="P531" s="263" t="s">
        <v>301</v>
      </c>
      <c r="Q531" s="251">
        <v>0</v>
      </c>
      <c r="R531" s="263" t="s">
        <v>301</v>
      </c>
      <c r="S531" s="232"/>
      <c r="U531" s="42"/>
    </row>
    <row r="532" spans="1:21" s="66" customFormat="1" ht="13.5" hidden="1" customHeight="1" thickBot="1" x14ac:dyDescent="0.35">
      <c r="A532" s="231"/>
      <c r="B532" s="77"/>
      <c r="C532" s="270"/>
      <c r="D532" s="271"/>
      <c r="E532" s="270"/>
      <c r="F532" s="271"/>
      <c r="G532" s="270"/>
      <c r="H532" s="271"/>
      <c r="I532" s="270"/>
      <c r="J532" s="271"/>
      <c r="K532" s="270"/>
      <c r="L532" s="271"/>
      <c r="M532" s="270"/>
      <c r="N532" s="271"/>
      <c r="O532" s="270"/>
      <c r="P532" s="271"/>
      <c r="Q532" s="270"/>
      <c r="R532" s="271"/>
      <c r="S532" s="232"/>
    </row>
    <row r="533" spans="1:21" s="66" customFormat="1" ht="13.5" customHeight="1" x14ac:dyDescent="0.3">
      <c r="A533" s="84"/>
      <c r="B533" s="272" t="s">
        <v>668</v>
      </c>
      <c r="C533" s="273">
        <v>0.5</v>
      </c>
      <c r="D533" s="274" t="s">
        <v>57</v>
      </c>
      <c r="E533" s="275">
        <v>0.5</v>
      </c>
      <c r="F533" s="276" t="s">
        <v>57</v>
      </c>
      <c r="G533" s="273">
        <v>0.5</v>
      </c>
      <c r="H533" s="274" t="s">
        <v>57</v>
      </c>
      <c r="I533" s="275">
        <v>0.5</v>
      </c>
      <c r="J533" s="276" t="s">
        <v>57</v>
      </c>
      <c r="K533" s="277">
        <v>0.5</v>
      </c>
      <c r="L533" s="274" t="s">
        <v>57</v>
      </c>
      <c r="M533" s="275">
        <v>0.5</v>
      </c>
      <c r="N533" s="276" t="s">
        <v>57</v>
      </c>
      <c r="O533" s="273">
        <v>0.5</v>
      </c>
      <c r="P533" s="274" t="s">
        <v>57</v>
      </c>
      <c r="Q533" s="275">
        <v>0.5</v>
      </c>
      <c r="R533" s="278" t="s">
        <v>57</v>
      </c>
      <c r="S533" s="87"/>
      <c r="U533" s="42"/>
    </row>
    <row r="534" spans="1:21" s="66" customFormat="1" ht="13.5" customHeight="1" x14ac:dyDescent="0.25">
      <c r="A534" s="84"/>
      <c r="B534" s="279" t="s">
        <v>669</v>
      </c>
      <c r="C534" s="280">
        <v>0</v>
      </c>
      <c r="D534" s="281" t="s">
        <v>57</v>
      </c>
      <c r="E534" s="282">
        <v>0</v>
      </c>
      <c r="F534" s="283" t="s">
        <v>57</v>
      </c>
      <c r="G534" s="280">
        <v>0</v>
      </c>
      <c r="H534" s="281" t="s">
        <v>57</v>
      </c>
      <c r="I534" s="282">
        <v>0</v>
      </c>
      <c r="J534" s="283" t="s">
        <v>57</v>
      </c>
      <c r="K534" s="284">
        <v>0</v>
      </c>
      <c r="L534" s="281" t="s">
        <v>57</v>
      </c>
      <c r="M534" s="282">
        <v>0</v>
      </c>
      <c r="N534" s="283" t="s">
        <v>57</v>
      </c>
      <c r="O534" s="280">
        <v>0</v>
      </c>
      <c r="P534" s="281" t="s">
        <v>57</v>
      </c>
      <c r="Q534" s="282">
        <v>0</v>
      </c>
      <c r="R534" s="285" t="s">
        <v>57</v>
      </c>
      <c r="S534" s="87"/>
    </row>
    <row r="535" spans="1:21" s="66" customFormat="1" ht="13.5" hidden="1" customHeight="1" x14ac:dyDescent="0.3">
      <c r="A535" s="84"/>
      <c r="B535" s="191"/>
      <c r="C535" s="286"/>
      <c r="D535" s="287"/>
      <c r="E535" s="286"/>
      <c r="F535" s="287"/>
      <c r="G535" s="286"/>
      <c r="H535" s="287"/>
      <c r="I535" s="286"/>
      <c r="J535" s="287"/>
      <c r="K535" s="286"/>
      <c r="L535" s="287"/>
      <c r="M535" s="286"/>
      <c r="N535" s="287"/>
      <c r="O535" s="286"/>
      <c r="P535" s="287"/>
      <c r="Q535" s="286"/>
      <c r="R535" s="287"/>
      <c r="S535" s="232"/>
    </row>
    <row r="536" spans="1:21" s="66" customFormat="1" ht="13.5" customHeight="1" x14ac:dyDescent="0.3">
      <c r="A536" s="84"/>
      <c r="B536" s="203" t="s">
        <v>670</v>
      </c>
      <c r="C536" s="754">
        <v>0.5</v>
      </c>
      <c r="D536" s="755"/>
      <c r="E536" s="755"/>
      <c r="F536" s="755"/>
      <c r="G536" s="755"/>
      <c r="H536" s="755"/>
      <c r="I536" s="755"/>
      <c r="J536" s="755"/>
      <c r="K536" s="755"/>
      <c r="L536" s="755"/>
      <c r="M536" s="755"/>
      <c r="N536" s="755"/>
      <c r="O536" s="755"/>
      <c r="P536" s="755"/>
      <c r="Q536" s="755"/>
      <c r="R536" s="756"/>
      <c r="S536" s="266"/>
      <c r="U536" s="42"/>
    </row>
    <row r="537" spans="1:21" s="66" customFormat="1" ht="13.5" customHeight="1" x14ac:dyDescent="0.25">
      <c r="A537" s="84"/>
      <c r="B537" s="279" t="s">
        <v>671</v>
      </c>
      <c r="C537" s="757">
        <v>0.5</v>
      </c>
      <c r="D537" s="758"/>
      <c r="E537" s="758"/>
      <c r="F537" s="758"/>
      <c r="G537" s="758"/>
      <c r="H537" s="758"/>
      <c r="I537" s="758"/>
      <c r="J537" s="758"/>
      <c r="K537" s="758"/>
      <c r="L537" s="758"/>
      <c r="M537" s="758"/>
      <c r="N537" s="758"/>
      <c r="O537" s="758"/>
      <c r="P537" s="758"/>
      <c r="Q537" s="758"/>
      <c r="R537" s="759"/>
      <c r="S537" s="266"/>
    </row>
    <row r="538" spans="1:21" s="66" customFormat="1" ht="13.5" customHeight="1" thickBot="1" x14ac:dyDescent="0.3">
      <c r="A538" s="84"/>
      <c r="B538" s="206" t="s">
        <v>672</v>
      </c>
      <c r="C538" s="760">
        <v>3.9E-2</v>
      </c>
      <c r="D538" s="761"/>
      <c r="E538" s="761"/>
      <c r="F538" s="761"/>
      <c r="G538" s="761"/>
      <c r="H538" s="761"/>
      <c r="I538" s="761"/>
      <c r="J538" s="761"/>
      <c r="K538" s="761"/>
      <c r="L538" s="761"/>
      <c r="M538" s="761"/>
      <c r="N538" s="761"/>
      <c r="O538" s="761"/>
      <c r="P538" s="761"/>
      <c r="Q538" s="761"/>
      <c r="R538" s="762"/>
      <c r="S538" s="266"/>
      <c r="U538" s="42"/>
    </row>
    <row r="539" spans="1:21" s="66" customFormat="1" ht="13.5" hidden="1" customHeight="1" x14ac:dyDescent="0.25">
      <c r="A539" s="231"/>
      <c r="B539" s="228"/>
      <c r="C539" s="228"/>
      <c r="D539" s="228"/>
      <c r="E539" s="228"/>
      <c r="F539" s="228"/>
      <c r="G539" s="228"/>
      <c r="H539" s="228"/>
      <c r="I539" s="228"/>
      <c r="J539" s="228"/>
      <c r="K539" s="228"/>
      <c r="L539" s="228"/>
      <c r="M539" s="228"/>
      <c r="N539" s="228"/>
      <c r="O539" s="228"/>
      <c r="P539" s="228"/>
      <c r="Q539" s="228"/>
      <c r="R539" s="228"/>
      <c r="S539" s="232"/>
    </row>
    <row r="540" spans="1:21" s="66" customFormat="1" ht="13.5" customHeight="1" thickBot="1" x14ac:dyDescent="0.3">
      <c r="A540" s="84"/>
      <c r="B540" s="42"/>
      <c r="C540" s="42"/>
      <c r="D540" s="42"/>
      <c r="E540" s="42"/>
      <c r="F540" s="42"/>
      <c r="G540" s="42"/>
      <c r="H540" s="42"/>
      <c r="I540" s="42"/>
      <c r="J540" s="42"/>
      <c r="K540" s="42"/>
      <c r="L540" s="42"/>
      <c r="M540" s="42"/>
      <c r="N540" s="42"/>
      <c r="O540" s="42"/>
      <c r="P540" s="42"/>
      <c r="Q540" s="42"/>
      <c r="R540" s="42"/>
      <c r="S540" s="87"/>
    </row>
    <row r="541" spans="1:21" s="66" customFormat="1" ht="16.5" customHeight="1" thickBot="1" x14ac:dyDescent="0.4">
      <c r="A541" s="84"/>
      <c r="B541" s="93" t="s">
        <v>673</v>
      </c>
      <c r="C541" s="739" t="b">
        <f>$C$80</f>
        <v>1</v>
      </c>
      <c r="D541" s="740"/>
      <c r="E541" s="740"/>
      <c r="F541" s="740"/>
      <c r="G541" s="740"/>
      <c r="H541" s="740"/>
      <c r="I541" s="740"/>
      <c r="J541" s="740"/>
      <c r="K541" s="740"/>
      <c r="L541" s="740"/>
      <c r="M541" s="740"/>
      <c r="N541" s="740"/>
      <c r="O541" s="740"/>
      <c r="P541" s="740"/>
      <c r="Q541" s="740"/>
      <c r="R541" s="741"/>
      <c r="S541" s="266"/>
    </row>
    <row r="542" spans="1:21" s="66" customFormat="1" ht="16.5" customHeight="1" thickBot="1" x14ac:dyDescent="0.3">
      <c r="A542" s="84"/>
      <c r="B542" s="96"/>
      <c r="C542" s="729" t="str">
        <f>C$82</f>
        <v>Loop1</v>
      </c>
      <c r="D542" s="730"/>
      <c r="E542" s="730" t="str">
        <f>E$82</f>
        <v>Stub1_2</v>
      </c>
      <c r="F542" s="731"/>
      <c r="G542" s="729" t="str">
        <f>G$82</f>
        <v>Stub2_1</v>
      </c>
      <c r="H542" s="730"/>
      <c r="I542" s="730" t="str">
        <f>I$82</f>
        <v>Stub2_2</v>
      </c>
      <c r="J542" s="731"/>
      <c r="K542" s="729" t="str">
        <f>K$82</f>
        <v>Loop3</v>
      </c>
      <c r="L542" s="730"/>
      <c r="M542" s="730" t="str">
        <f>M$82</f>
        <v>Stub3_2</v>
      </c>
      <c r="N542" s="731"/>
      <c r="O542" s="729" t="str">
        <f>O$82</f>
        <v>Loop4</v>
      </c>
      <c r="P542" s="730"/>
      <c r="Q542" s="730" t="str">
        <f>Q$82</f>
        <v>Stub4_2</v>
      </c>
      <c r="R542" s="731"/>
      <c r="S542" s="87"/>
    </row>
    <row r="543" spans="1:21" s="66" customFormat="1" ht="13.5" hidden="1" customHeight="1" x14ac:dyDescent="0.25">
      <c r="A543" s="231"/>
      <c r="B543" s="228" t="s">
        <v>674</v>
      </c>
      <c r="C543" s="288">
        <v>0</v>
      </c>
      <c r="D543" s="228" t="s">
        <v>301</v>
      </c>
      <c r="E543" s="288">
        <v>0</v>
      </c>
      <c r="F543" s="228" t="s">
        <v>301</v>
      </c>
      <c r="G543" s="288">
        <v>0</v>
      </c>
      <c r="H543" s="228" t="s">
        <v>301</v>
      </c>
      <c r="I543" s="288">
        <v>0</v>
      </c>
      <c r="J543" s="228" t="s">
        <v>301</v>
      </c>
      <c r="K543" s="288">
        <v>0</v>
      </c>
      <c r="L543" s="228" t="s">
        <v>301</v>
      </c>
      <c r="M543" s="288">
        <v>0</v>
      </c>
      <c r="N543" s="228" t="s">
        <v>301</v>
      </c>
      <c r="O543" s="288">
        <v>0</v>
      </c>
      <c r="P543" s="228" t="s">
        <v>301</v>
      </c>
      <c r="Q543" s="288">
        <v>0</v>
      </c>
      <c r="R543" s="228" t="s">
        <v>301</v>
      </c>
      <c r="S543" s="232"/>
    </row>
    <row r="544" spans="1:21" s="66" customFormat="1" ht="13.5" hidden="1" customHeight="1" thickBot="1" x14ac:dyDescent="0.3">
      <c r="A544" s="231"/>
      <c r="B544" s="228" t="s">
        <v>675</v>
      </c>
      <c r="C544" s="251">
        <v>0</v>
      </c>
      <c r="D544" s="263" t="s">
        <v>301</v>
      </c>
      <c r="E544" s="251">
        <v>0</v>
      </c>
      <c r="F544" s="263" t="s">
        <v>301</v>
      </c>
      <c r="G544" s="251">
        <v>0</v>
      </c>
      <c r="H544" s="263" t="s">
        <v>301</v>
      </c>
      <c r="I544" s="251">
        <v>0</v>
      </c>
      <c r="J544" s="263" t="s">
        <v>301</v>
      </c>
      <c r="K544" s="251">
        <v>0</v>
      </c>
      <c r="L544" s="263" t="s">
        <v>301</v>
      </c>
      <c r="M544" s="251">
        <v>0</v>
      </c>
      <c r="N544" s="263" t="s">
        <v>301</v>
      </c>
      <c r="O544" s="251">
        <v>0</v>
      </c>
      <c r="P544" s="263" t="s">
        <v>301</v>
      </c>
      <c r="Q544" s="251">
        <v>0</v>
      </c>
      <c r="R544" s="263" t="s">
        <v>301</v>
      </c>
      <c r="S544" s="232"/>
    </row>
    <row r="545" spans="1:19" s="66" customFormat="1" ht="13.5" customHeight="1" x14ac:dyDescent="0.25">
      <c r="A545" s="84"/>
      <c r="B545" s="272" t="s">
        <v>676</v>
      </c>
      <c r="C545" s="289">
        <v>0</v>
      </c>
      <c r="D545" s="290" t="s">
        <v>57</v>
      </c>
      <c r="E545" s="291">
        <v>0</v>
      </c>
      <c r="F545" s="292" t="s">
        <v>57</v>
      </c>
      <c r="G545" s="289">
        <v>0</v>
      </c>
      <c r="H545" s="290" t="s">
        <v>57</v>
      </c>
      <c r="I545" s="291">
        <v>0</v>
      </c>
      <c r="J545" s="292" t="s">
        <v>57</v>
      </c>
      <c r="K545" s="289">
        <v>0</v>
      </c>
      <c r="L545" s="290" t="s">
        <v>57</v>
      </c>
      <c r="M545" s="291">
        <v>0</v>
      </c>
      <c r="N545" s="292" t="s">
        <v>57</v>
      </c>
      <c r="O545" s="289">
        <v>0</v>
      </c>
      <c r="P545" s="290" t="s">
        <v>57</v>
      </c>
      <c r="Q545" s="291">
        <v>0</v>
      </c>
      <c r="R545" s="293" t="s">
        <v>57</v>
      </c>
      <c r="S545" s="87"/>
    </row>
    <row r="546" spans="1:19" s="66" customFormat="1" ht="13.5" hidden="1" customHeight="1" x14ac:dyDescent="0.25">
      <c r="A546" s="231"/>
      <c r="B546" s="218"/>
      <c r="C546" s="218"/>
      <c r="D546" s="218"/>
      <c r="E546" s="218"/>
      <c r="F546" s="218"/>
      <c r="G546" s="218"/>
      <c r="H546" s="218"/>
      <c r="I546" s="218"/>
      <c r="J546" s="218"/>
      <c r="K546" s="218"/>
      <c r="L546" s="218"/>
      <c r="M546" s="218"/>
      <c r="N546" s="218"/>
      <c r="O546" s="218"/>
      <c r="P546" s="218"/>
      <c r="Q546" s="218"/>
      <c r="R546" s="218"/>
      <c r="S546" s="232"/>
    </row>
    <row r="547" spans="1:19" s="66" customFormat="1" ht="13.5" customHeight="1" x14ac:dyDescent="0.25">
      <c r="A547" s="84"/>
      <c r="B547" s="203" t="s">
        <v>677</v>
      </c>
      <c r="C547" s="770">
        <v>0</v>
      </c>
      <c r="D547" s="771"/>
      <c r="E547" s="771"/>
      <c r="F547" s="771"/>
      <c r="G547" s="771"/>
      <c r="H547" s="771"/>
      <c r="I547" s="771"/>
      <c r="J547" s="771"/>
      <c r="K547" s="771"/>
      <c r="L547" s="771"/>
      <c r="M547" s="771"/>
      <c r="N547" s="771"/>
      <c r="O547" s="771"/>
      <c r="P547" s="771"/>
      <c r="Q547" s="771"/>
      <c r="R547" s="772"/>
      <c r="S547" s="266"/>
    </row>
    <row r="548" spans="1:19" s="66" customFormat="1" ht="13.5" customHeight="1" thickBot="1" x14ac:dyDescent="0.3">
      <c r="A548" s="84"/>
      <c r="B548" s="206" t="s">
        <v>678</v>
      </c>
      <c r="C548" s="773">
        <v>3.9E-2</v>
      </c>
      <c r="D548" s="774"/>
      <c r="E548" s="774"/>
      <c r="F548" s="774"/>
      <c r="G548" s="774"/>
      <c r="H548" s="774"/>
      <c r="I548" s="774"/>
      <c r="J548" s="774"/>
      <c r="K548" s="774"/>
      <c r="L548" s="774"/>
      <c r="M548" s="774"/>
      <c r="N548" s="774"/>
      <c r="O548" s="774"/>
      <c r="P548" s="774"/>
      <c r="Q548" s="774"/>
      <c r="R548" s="775"/>
      <c r="S548" s="266"/>
    </row>
    <row r="549" spans="1:19" s="66" customFormat="1" ht="13.5" hidden="1" customHeight="1" x14ac:dyDescent="0.25">
      <c r="A549" s="231"/>
      <c r="B549" s="228"/>
      <c r="C549" s="228"/>
      <c r="D549" s="228"/>
      <c r="E549" s="228"/>
      <c r="F549" s="228"/>
      <c r="G549" s="228"/>
      <c r="H549" s="228"/>
      <c r="I549" s="228"/>
      <c r="J549" s="228"/>
      <c r="K549" s="228"/>
      <c r="L549" s="228"/>
      <c r="M549" s="228"/>
      <c r="N549" s="228"/>
      <c r="O549" s="228"/>
      <c r="P549" s="228"/>
      <c r="Q549" s="228"/>
      <c r="R549" s="228"/>
      <c r="S549" s="232"/>
    </row>
    <row r="550" spans="1:19" s="66" customFormat="1" ht="13.5" hidden="1" customHeight="1" x14ac:dyDescent="0.25">
      <c r="A550" s="231"/>
      <c r="B550" s="228"/>
      <c r="C550" s="228"/>
      <c r="D550" s="228"/>
      <c r="E550" s="228"/>
      <c r="F550" s="228"/>
      <c r="G550" s="228"/>
      <c r="H550" s="228"/>
      <c r="I550" s="228"/>
      <c r="J550" s="228"/>
      <c r="K550" s="228"/>
      <c r="L550" s="228"/>
      <c r="M550" s="228"/>
      <c r="N550" s="228"/>
      <c r="O550" s="228"/>
      <c r="P550" s="228"/>
      <c r="Q550" s="228"/>
      <c r="R550" s="228"/>
      <c r="S550" s="232"/>
    </row>
    <row r="551" spans="1:19" s="66" customFormat="1" ht="13.5" hidden="1" customHeight="1" x14ac:dyDescent="0.25">
      <c r="A551" s="231"/>
      <c r="B551" s="228"/>
      <c r="C551" s="228"/>
      <c r="D551" s="228"/>
      <c r="E551" s="228"/>
      <c r="F551" s="228"/>
      <c r="G551" s="228"/>
      <c r="H551" s="228"/>
      <c r="I551" s="228"/>
      <c r="J551" s="228"/>
      <c r="K551" s="228"/>
      <c r="L551" s="228"/>
      <c r="M551" s="228"/>
      <c r="N551" s="228"/>
      <c r="O551" s="228"/>
      <c r="P551" s="228"/>
      <c r="Q551" s="228"/>
      <c r="R551" s="228"/>
      <c r="S551" s="232"/>
    </row>
    <row r="552" spans="1:19" s="66" customFormat="1" ht="13.5" hidden="1" customHeight="1" x14ac:dyDescent="0.3">
      <c r="A552" s="231"/>
      <c r="B552" s="250"/>
      <c r="C552" s="228"/>
      <c r="D552" s="228"/>
      <c r="E552" s="228"/>
      <c r="F552" s="228"/>
      <c r="G552" s="228"/>
      <c r="H552" s="228"/>
      <c r="I552" s="228"/>
      <c r="J552" s="228"/>
      <c r="K552" s="228"/>
      <c r="L552" s="228"/>
      <c r="M552" s="228"/>
      <c r="N552" s="228"/>
      <c r="O552" s="228"/>
      <c r="P552" s="228"/>
      <c r="Q552" s="228"/>
      <c r="R552" s="228"/>
      <c r="S552" s="232"/>
    </row>
    <row r="553" spans="1:19" s="66" customFormat="1" ht="13.5" customHeight="1" thickBot="1" x14ac:dyDescent="0.35">
      <c r="A553" s="84"/>
      <c r="B553" s="43"/>
      <c r="C553" s="42"/>
      <c r="D553" s="42"/>
      <c r="E553" s="42"/>
      <c r="F553" s="42"/>
      <c r="G553" s="42"/>
      <c r="H553" s="42"/>
      <c r="I553" s="42"/>
      <c r="J553" s="42"/>
      <c r="K553" s="42"/>
      <c r="L553" s="42"/>
      <c r="M553" s="42"/>
      <c r="N553" s="42"/>
      <c r="O553" s="42"/>
      <c r="P553" s="42"/>
      <c r="Q553" s="42"/>
      <c r="R553" s="42"/>
      <c r="S553" s="87"/>
    </row>
    <row r="554" spans="1:19" s="66" customFormat="1" ht="16.5" customHeight="1" thickBot="1" x14ac:dyDescent="0.4">
      <c r="A554" s="84"/>
      <c r="B554" s="93" t="s">
        <v>679</v>
      </c>
      <c r="C554" s="739" t="b">
        <f>$C$80</f>
        <v>1</v>
      </c>
      <c r="D554" s="740"/>
      <c r="E554" s="740"/>
      <c r="F554" s="740"/>
      <c r="G554" s="740"/>
      <c r="H554" s="740"/>
      <c r="I554" s="740"/>
      <c r="J554" s="740"/>
      <c r="K554" s="740"/>
      <c r="L554" s="740"/>
      <c r="M554" s="740"/>
      <c r="N554" s="740"/>
      <c r="O554" s="740"/>
      <c r="P554" s="740"/>
      <c r="Q554" s="740"/>
      <c r="R554" s="741"/>
      <c r="S554" s="266"/>
    </row>
    <row r="555" spans="1:19" s="66" customFormat="1" ht="16.5" customHeight="1" thickBot="1" x14ac:dyDescent="0.3">
      <c r="A555" s="84"/>
      <c r="B555" s="96"/>
      <c r="C555" s="729" t="str">
        <f>C$82</f>
        <v>Loop1</v>
      </c>
      <c r="D555" s="730"/>
      <c r="E555" s="730" t="str">
        <f>E$82</f>
        <v>Stub1_2</v>
      </c>
      <c r="F555" s="731"/>
      <c r="G555" s="729" t="str">
        <f>G$82</f>
        <v>Stub2_1</v>
      </c>
      <c r="H555" s="730"/>
      <c r="I555" s="730" t="str">
        <f>I$82</f>
        <v>Stub2_2</v>
      </c>
      <c r="J555" s="731"/>
      <c r="K555" s="729" t="str">
        <f>K$82</f>
        <v>Loop3</v>
      </c>
      <c r="L555" s="730"/>
      <c r="M555" s="730" t="str">
        <f>M$82</f>
        <v>Stub3_2</v>
      </c>
      <c r="N555" s="731"/>
      <c r="O555" s="729" t="str">
        <f>O$82</f>
        <v>Loop4</v>
      </c>
      <c r="P555" s="730"/>
      <c r="Q555" s="730" t="str">
        <f>Q$82</f>
        <v>Stub4_2</v>
      </c>
      <c r="R555" s="731"/>
      <c r="S555" s="87"/>
    </row>
    <row r="556" spans="1:19" s="66" customFormat="1" ht="13.5" hidden="1" customHeight="1" thickBot="1" x14ac:dyDescent="0.35">
      <c r="A556" s="231"/>
      <c r="B556" s="250" t="s">
        <v>680</v>
      </c>
      <c r="C556" s="228"/>
      <c r="D556" s="228"/>
      <c r="E556" s="228"/>
      <c r="F556" s="228"/>
      <c r="G556" s="228"/>
      <c r="H556" s="228"/>
      <c r="I556" s="228"/>
      <c r="J556" s="228"/>
      <c r="K556" s="228"/>
      <c r="L556" s="228"/>
      <c r="M556" s="228"/>
      <c r="N556" s="228"/>
      <c r="O556" s="228"/>
      <c r="P556" s="228"/>
      <c r="Q556" s="228"/>
      <c r="R556" s="228"/>
      <c r="S556" s="232"/>
    </row>
    <row r="557" spans="1:19" s="66" customFormat="1" ht="13.5" customHeight="1" x14ac:dyDescent="0.25">
      <c r="A557" s="84"/>
      <c r="B557" s="272" t="s">
        <v>681</v>
      </c>
      <c r="C557" s="294">
        <v>7.0000000000000007E-2</v>
      </c>
      <c r="D557" s="295" t="s">
        <v>274</v>
      </c>
      <c r="E557" s="296">
        <v>7.0000000000000007E-2</v>
      </c>
      <c r="F557" s="297" t="s">
        <v>274</v>
      </c>
      <c r="G557" s="294">
        <v>7.0000000000000007E-2</v>
      </c>
      <c r="H557" s="295" t="s">
        <v>274</v>
      </c>
      <c r="I557" s="296">
        <v>7.0000000000000007E-2</v>
      </c>
      <c r="J557" s="297" t="s">
        <v>274</v>
      </c>
      <c r="K557" s="298">
        <v>7.0000000000000007E-2</v>
      </c>
      <c r="L557" s="295" t="s">
        <v>274</v>
      </c>
      <c r="M557" s="296">
        <v>7.0000000000000007E-2</v>
      </c>
      <c r="N557" s="297" t="s">
        <v>274</v>
      </c>
      <c r="O557" s="294">
        <v>7.0000000000000007E-2</v>
      </c>
      <c r="P557" s="295" t="s">
        <v>274</v>
      </c>
      <c r="Q557" s="296">
        <v>7.0000000000000007E-2</v>
      </c>
      <c r="R557" s="297" t="s">
        <v>274</v>
      </c>
      <c r="S557" s="87"/>
    </row>
    <row r="558" spans="1:19" s="66" customFormat="1" ht="13.5" customHeight="1" x14ac:dyDescent="0.25">
      <c r="A558" s="84"/>
      <c r="B558" s="203" t="s">
        <v>682</v>
      </c>
      <c r="C558" s="299">
        <v>0</v>
      </c>
      <c r="D558" s="300" t="s">
        <v>274</v>
      </c>
      <c r="E558" s="301">
        <v>0</v>
      </c>
      <c r="F558" s="302" t="s">
        <v>274</v>
      </c>
      <c r="G558" s="299">
        <v>0</v>
      </c>
      <c r="H558" s="300" t="s">
        <v>274</v>
      </c>
      <c r="I558" s="301">
        <v>0</v>
      </c>
      <c r="J558" s="302" t="s">
        <v>274</v>
      </c>
      <c r="K558" s="303">
        <v>0</v>
      </c>
      <c r="L558" s="300" t="s">
        <v>274</v>
      </c>
      <c r="M558" s="301">
        <v>0</v>
      </c>
      <c r="N558" s="302" t="s">
        <v>274</v>
      </c>
      <c r="O558" s="299">
        <v>0</v>
      </c>
      <c r="P558" s="300" t="s">
        <v>274</v>
      </c>
      <c r="Q558" s="301">
        <v>0</v>
      </c>
      <c r="R558" s="302" t="s">
        <v>274</v>
      </c>
      <c r="S558" s="87"/>
    </row>
    <row r="559" spans="1:19" s="66" customFormat="1" ht="13.5" customHeight="1" thickBot="1" x14ac:dyDescent="0.3">
      <c r="A559" s="84"/>
      <c r="B559" s="304" t="s">
        <v>683</v>
      </c>
      <c r="C559" s="305">
        <v>0</v>
      </c>
      <c r="D559" s="306" t="s">
        <v>268</v>
      </c>
      <c r="E559" s="307">
        <v>0</v>
      </c>
      <c r="F559" s="308" t="s">
        <v>268</v>
      </c>
      <c r="G559" s="305">
        <v>0</v>
      </c>
      <c r="H559" s="306" t="s">
        <v>268</v>
      </c>
      <c r="I559" s="307">
        <v>0</v>
      </c>
      <c r="J559" s="308" t="s">
        <v>268</v>
      </c>
      <c r="K559" s="309">
        <v>0</v>
      </c>
      <c r="L559" s="306" t="s">
        <v>268</v>
      </c>
      <c r="M559" s="307">
        <v>0</v>
      </c>
      <c r="N559" s="308" t="s">
        <v>268</v>
      </c>
      <c r="O559" s="305">
        <v>0</v>
      </c>
      <c r="P559" s="306" t="s">
        <v>268</v>
      </c>
      <c r="Q559" s="307">
        <v>0</v>
      </c>
      <c r="R559" s="308" t="s">
        <v>268</v>
      </c>
      <c r="S559" s="87"/>
    </row>
    <row r="560" spans="1:19" s="66" customFormat="1" ht="13.5" hidden="1" customHeight="1" x14ac:dyDescent="0.25">
      <c r="A560" s="231"/>
      <c r="B560" s="228" t="s">
        <v>684</v>
      </c>
      <c r="C560" s="260">
        <v>0</v>
      </c>
      <c r="D560" s="261"/>
      <c r="E560" s="260">
        <v>0</v>
      </c>
      <c r="F560" s="261"/>
      <c r="G560" s="260">
        <v>0</v>
      </c>
      <c r="H560" s="261"/>
      <c r="I560" s="260">
        <v>0</v>
      </c>
      <c r="J560" s="261"/>
      <c r="K560" s="260">
        <v>0</v>
      </c>
      <c r="L560" s="261"/>
      <c r="M560" s="260">
        <v>0</v>
      </c>
      <c r="N560" s="261"/>
      <c r="O560" s="260">
        <v>0</v>
      </c>
      <c r="P560" s="261"/>
      <c r="Q560" s="260">
        <v>0</v>
      </c>
      <c r="R560" s="261"/>
      <c r="S560" s="232"/>
    </row>
    <row r="561" spans="1:19" s="66" customFormat="1" ht="13.5" hidden="1" customHeight="1" x14ac:dyDescent="0.25">
      <c r="A561" s="231"/>
      <c r="B561" s="228"/>
      <c r="C561" s="260"/>
      <c r="D561" s="261"/>
      <c r="E561" s="260"/>
      <c r="F561" s="261"/>
      <c r="G561" s="260"/>
      <c r="H561" s="261"/>
      <c r="I561" s="260"/>
      <c r="J561" s="261"/>
      <c r="K561" s="260"/>
      <c r="L561" s="261"/>
      <c r="M561" s="260"/>
      <c r="N561" s="261"/>
      <c r="O561" s="260"/>
      <c r="P561" s="261"/>
      <c r="Q561" s="260"/>
      <c r="R561" s="261"/>
      <c r="S561" s="232"/>
    </row>
    <row r="562" spans="1:19" s="66" customFormat="1" ht="13.5" hidden="1" customHeight="1" x14ac:dyDescent="0.25">
      <c r="A562" s="231"/>
      <c r="B562" s="228" t="s">
        <v>685</v>
      </c>
      <c r="C562" s="262">
        <v>240</v>
      </c>
      <c r="D562" s="263" t="s">
        <v>274</v>
      </c>
      <c r="E562" s="262">
        <v>240</v>
      </c>
      <c r="F562" s="263" t="s">
        <v>274</v>
      </c>
      <c r="G562" s="262">
        <v>240</v>
      </c>
      <c r="H562" s="263" t="s">
        <v>274</v>
      </c>
      <c r="I562" s="262">
        <v>240</v>
      </c>
      <c r="J562" s="263" t="s">
        <v>274</v>
      </c>
      <c r="K562" s="262">
        <v>240</v>
      </c>
      <c r="L562" s="263" t="s">
        <v>274</v>
      </c>
      <c r="M562" s="262">
        <v>240</v>
      </c>
      <c r="N562" s="263" t="s">
        <v>274</v>
      </c>
      <c r="O562" s="262">
        <v>240</v>
      </c>
      <c r="P562" s="263" t="s">
        <v>274</v>
      </c>
      <c r="Q562" s="262">
        <v>240</v>
      </c>
      <c r="R562" s="263" t="s">
        <v>274</v>
      </c>
      <c r="S562" s="232"/>
    </row>
    <row r="563" spans="1:19" s="66" customFormat="1" ht="13.5" hidden="1" customHeight="1" x14ac:dyDescent="0.25">
      <c r="A563" s="231"/>
      <c r="B563" s="228" t="s">
        <v>686</v>
      </c>
      <c r="C563" s="262">
        <v>240</v>
      </c>
      <c r="D563" s="263" t="s">
        <v>274</v>
      </c>
      <c r="E563" s="262">
        <v>240</v>
      </c>
      <c r="F563" s="263" t="s">
        <v>274</v>
      </c>
      <c r="G563" s="262">
        <v>240</v>
      </c>
      <c r="H563" s="263" t="s">
        <v>274</v>
      </c>
      <c r="I563" s="262">
        <v>240</v>
      </c>
      <c r="J563" s="263" t="s">
        <v>274</v>
      </c>
      <c r="K563" s="262">
        <v>240</v>
      </c>
      <c r="L563" s="263" t="s">
        <v>274</v>
      </c>
      <c r="M563" s="262">
        <v>240</v>
      </c>
      <c r="N563" s="263" t="s">
        <v>274</v>
      </c>
      <c r="O563" s="262">
        <v>240</v>
      </c>
      <c r="P563" s="263" t="s">
        <v>274</v>
      </c>
      <c r="Q563" s="262">
        <v>240</v>
      </c>
      <c r="R563" s="263" t="s">
        <v>274</v>
      </c>
      <c r="S563" s="232"/>
    </row>
    <row r="564" spans="1:19" s="66" customFormat="1" ht="13.5" hidden="1" customHeight="1" x14ac:dyDescent="0.3">
      <c r="A564" s="231"/>
      <c r="B564" s="228"/>
      <c r="C564" s="310"/>
      <c r="D564" s="311"/>
      <c r="E564" s="228"/>
      <c r="F564" s="228"/>
      <c r="G564" s="228"/>
      <c r="H564" s="228"/>
      <c r="I564" s="228"/>
      <c r="J564" s="228"/>
      <c r="K564" s="228"/>
      <c r="L564" s="228"/>
      <c r="M564" s="228"/>
      <c r="N564" s="228"/>
      <c r="O564" s="228"/>
      <c r="P564" s="228"/>
      <c r="Q564" s="228"/>
      <c r="R564" s="228"/>
      <c r="S564" s="232"/>
    </row>
    <row r="565" spans="1:19" s="66" customFormat="1" ht="13.5" hidden="1" customHeight="1" x14ac:dyDescent="0.25">
      <c r="A565" s="231"/>
      <c r="B565" s="228"/>
      <c r="C565" s="228"/>
      <c r="D565" s="228"/>
      <c r="E565" s="228"/>
      <c r="F565" s="228"/>
      <c r="G565" s="228"/>
      <c r="H565" s="228"/>
      <c r="I565" s="228"/>
      <c r="J565" s="228"/>
      <c r="K565" s="228"/>
      <c r="L565" s="228"/>
      <c r="M565" s="228"/>
      <c r="N565" s="228"/>
      <c r="O565" s="228"/>
      <c r="P565" s="228"/>
      <c r="Q565" s="228"/>
      <c r="R565" s="228"/>
      <c r="S565" s="232"/>
    </row>
    <row r="566" spans="1:19" s="66" customFormat="1" ht="13.5" hidden="1" customHeight="1" thickBot="1" x14ac:dyDescent="0.35">
      <c r="A566" s="231"/>
      <c r="B566" s="250" t="s">
        <v>687</v>
      </c>
      <c r="C566" s="228"/>
      <c r="D566" s="312"/>
      <c r="E566" s="312"/>
      <c r="F566" s="312"/>
      <c r="G566" s="312"/>
      <c r="H566" s="312"/>
      <c r="I566" s="312"/>
      <c r="J566" s="312"/>
      <c r="K566" s="312"/>
      <c r="L566" s="312"/>
      <c r="M566" s="312"/>
      <c r="N566" s="312"/>
      <c r="O566" s="312"/>
      <c r="P566" s="312"/>
      <c r="Q566" s="312"/>
      <c r="R566" s="312"/>
      <c r="S566" s="313"/>
    </row>
    <row r="567" spans="1:19" ht="13.5" customHeight="1" x14ac:dyDescent="0.3">
      <c r="A567" s="59"/>
      <c r="B567" s="314" t="s">
        <v>688</v>
      </c>
      <c r="C567" s="315">
        <v>750</v>
      </c>
      <c r="D567" s="316" t="s">
        <v>275</v>
      </c>
      <c r="E567" s="317">
        <v>750</v>
      </c>
      <c r="F567" s="318" t="s">
        <v>275</v>
      </c>
      <c r="G567" s="315">
        <v>750</v>
      </c>
      <c r="H567" s="316" t="s">
        <v>275</v>
      </c>
      <c r="I567" s="317">
        <v>750</v>
      </c>
      <c r="J567" s="318" t="s">
        <v>275</v>
      </c>
      <c r="K567" s="319">
        <v>750</v>
      </c>
      <c r="L567" s="316" t="s">
        <v>275</v>
      </c>
      <c r="M567" s="317">
        <v>750</v>
      </c>
      <c r="N567" s="318" t="s">
        <v>275</v>
      </c>
      <c r="O567" s="315">
        <v>750</v>
      </c>
      <c r="P567" s="316" t="s">
        <v>275</v>
      </c>
      <c r="Q567" s="317">
        <v>750</v>
      </c>
      <c r="R567" s="318" t="s">
        <v>275</v>
      </c>
      <c r="S567" s="61"/>
    </row>
    <row r="568" spans="1:19" x14ac:dyDescent="0.25">
      <c r="A568" s="59"/>
      <c r="B568" s="203" t="s">
        <v>689</v>
      </c>
      <c r="C568" s="320">
        <v>7.0000000000000007E-2</v>
      </c>
      <c r="D568" s="155" t="s">
        <v>275</v>
      </c>
      <c r="E568" s="321">
        <v>7.0000000000000007E-2</v>
      </c>
      <c r="F568" s="138" t="s">
        <v>275</v>
      </c>
      <c r="G568" s="320">
        <v>7.0000000000000007E-2</v>
      </c>
      <c r="H568" s="155" t="s">
        <v>275</v>
      </c>
      <c r="I568" s="321">
        <v>7.0000000000000007E-2</v>
      </c>
      <c r="J568" s="138" t="s">
        <v>275</v>
      </c>
      <c r="K568" s="322">
        <v>7.0000000000000007E-2</v>
      </c>
      <c r="L568" s="155" t="s">
        <v>275</v>
      </c>
      <c r="M568" s="321">
        <v>7.0000000000000007E-2</v>
      </c>
      <c r="N568" s="138" t="s">
        <v>275</v>
      </c>
      <c r="O568" s="320">
        <v>7.0000000000000007E-2</v>
      </c>
      <c r="P568" s="155" t="s">
        <v>275</v>
      </c>
      <c r="Q568" s="321">
        <v>7.0000000000000007E-2</v>
      </c>
      <c r="R568" s="138" t="s">
        <v>275</v>
      </c>
      <c r="S568" s="61"/>
    </row>
    <row r="569" spans="1:19" ht="13" thickBot="1" x14ac:dyDescent="0.3">
      <c r="A569" s="59"/>
      <c r="B569" s="206" t="s">
        <v>690</v>
      </c>
      <c r="C569" s="323">
        <v>0</v>
      </c>
      <c r="D569" s="225" t="s">
        <v>275</v>
      </c>
      <c r="E569" s="324">
        <v>0</v>
      </c>
      <c r="F569" s="227" t="s">
        <v>275</v>
      </c>
      <c r="G569" s="323">
        <v>0</v>
      </c>
      <c r="H569" s="225" t="s">
        <v>275</v>
      </c>
      <c r="I569" s="324">
        <v>0</v>
      </c>
      <c r="J569" s="227" t="s">
        <v>275</v>
      </c>
      <c r="K569" s="325">
        <v>0</v>
      </c>
      <c r="L569" s="225" t="s">
        <v>275</v>
      </c>
      <c r="M569" s="324">
        <v>0</v>
      </c>
      <c r="N569" s="227" t="s">
        <v>275</v>
      </c>
      <c r="O569" s="323">
        <v>0</v>
      </c>
      <c r="P569" s="225" t="s">
        <v>275</v>
      </c>
      <c r="Q569" s="324">
        <v>0</v>
      </c>
      <c r="R569" s="227" t="s">
        <v>275</v>
      </c>
      <c r="S569" s="61"/>
    </row>
    <row r="570" spans="1:19" ht="12.75" hidden="1" customHeight="1" thickBot="1" x14ac:dyDescent="0.35">
      <c r="A570" s="215"/>
      <c r="B570" s="228"/>
      <c r="C570" s="255"/>
      <c r="D570" s="255"/>
      <c r="E570" s="255"/>
      <c r="F570" s="255"/>
      <c r="G570" s="255"/>
      <c r="H570" s="255"/>
      <c r="I570" s="255"/>
      <c r="J570" s="255"/>
      <c r="K570" s="255"/>
      <c r="L570" s="255"/>
      <c r="M570" s="255"/>
      <c r="N570" s="255"/>
      <c r="O570" s="255"/>
      <c r="P570" s="255"/>
      <c r="Q570" s="255"/>
      <c r="R570" s="255"/>
      <c r="S570" s="230"/>
    </row>
    <row r="571" spans="1:19" ht="12.75" customHeight="1" x14ac:dyDescent="0.25">
      <c r="A571" s="59"/>
      <c r="B571" s="326" t="s">
        <v>691</v>
      </c>
      <c r="C571" s="763">
        <v>1000</v>
      </c>
      <c r="D571" s="764"/>
      <c r="E571" s="764"/>
      <c r="F571" s="764"/>
      <c r="G571" s="764"/>
      <c r="H571" s="764"/>
      <c r="I571" s="764"/>
      <c r="J571" s="764"/>
      <c r="K571" s="764"/>
      <c r="L571" s="764"/>
      <c r="M571" s="764"/>
      <c r="N571" s="764"/>
      <c r="O571" s="764"/>
      <c r="P571" s="764"/>
      <c r="Q571" s="764"/>
      <c r="R571" s="765"/>
      <c r="S571" s="94"/>
    </row>
    <row r="572" spans="1:19" ht="12.75" customHeight="1" thickBot="1" x14ac:dyDescent="0.3">
      <c r="A572" s="59"/>
      <c r="B572" s="244" t="s">
        <v>692</v>
      </c>
      <c r="C572" s="766">
        <v>0.28000000000000003</v>
      </c>
      <c r="D572" s="767"/>
      <c r="E572" s="767"/>
      <c r="F572" s="767"/>
      <c r="G572" s="767"/>
      <c r="H572" s="767"/>
      <c r="I572" s="767"/>
      <c r="J572" s="767"/>
      <c r="K572" s="767"/>
      <c r="L572" s="767"/>
      <c r="M572" s="767"/>
      <c r="N572" s="767"/>
      <c r="O572" s="767"/>
      <c r="P572" s="767"/>
      <c r="Q572" s="767"/>
      <c r="R572" s="768"/>
      <c r="S572" s="94"/>
    </row>
    <row r="573" spans="1:19" ht="12.75" customHeight="1" x14ac:dyDescent="0.25">
      <c r="A573" s="59"/>
      <c r="B573" s="327"/>
      <c r="C573" s="328"/>
      <c r="D573" s="328"/>
      <c r="E573" s="328"/>
      <c r="F573" s="328"/>
      <c r="G573" s="328"/>
      <c r="H573" s="328"/>
      <c r="I573" s="328"/>
      <c r="J573" s="328"/>
      <c r="K573" s="328"/>
      <c r="L573" s="328"/>
      <c r="M573" s="328"/>
      <c r="N573" s="328"/>
      <c r="O573" s="328"/>
      <c r="P573" s="328"/>
      <c r="Q573" s="328"/>
      <c r="R573" s="328"/>
      <c r="S573" s="61"/>
    </row>
    <row r="574" spans="1:19" ht="12.75" hidden="1" customHeight="1" x14ac:dyDescent="0.25">
      <c r="A574" s="215"/>
      <c r="B574" s="239"/>
      <c r="C574" s="329"/>
      <c r="D574" s="329"/>
      <c r="E574" s="329"/>
      <c r="F574" s="329"/>
      <c r="G574" s="329"/>
      <c r="H574" s="329"/>
      <c r="I574" s="329"/>
      <c r="J574" s="329"/>
      <c r="K574" s="329"/>
      <c r="L574" s="329"/>
      <c r="M574" s="329"/>
      <c r="N574" s="329"/>
      <c r="O574" s="329"/>
      <c r="P574" s="329"/>
      <c r="Q574" s="329"/>
      <c r="R574" s="329"/>
      <c r="S574" s="230"/>
    </row>
    <row r="575" spans="1:19" ht="13" hidden="1" x14ac:dyDescent="0.3">
      <c r="A575" s="215"/>
      <c r="B575" s="250" t="s">
        <v>693</v>
      </c>
      <c r="C575" s="228"/>
      <c r="D575" s="228"/>
      <c r="E575" s="228"/>
      <c r="F575" s="228"/>
      <c r="G575" s="228"/>
      <c r="H575" s="228"/>
      <c r="I575" s="228"/>
      <c r="J575" s="228"/>
      <c r="K575" s="228"/>
      <c r="L575" s="228"/>
      <c r="M575" s="228"/>
      <c r="N575" s="228"/>
      <c r="O575" s="228"/>
      <c r="P575" s="228"/>
      <c r="Q575" s="228"/>
      <c r="R575" s="228"/>
      <c r="S575" s="230"/>
    </row>
    <row r="576" spans="1:19" ht="12.75" hidden="1" customHeight="1" x14ac:dyDescent="0.25">
      <c r="A576" s="215"/>
      <c r="B576" s="81" t="s">
        <v>694</v>
      </c>
      <c r="C576" s="769" t="b">
        <v>1</v>
      </c>
      <c r="D576" s="769"/>
      <c r="E576" s="769"/>
      <c r="F576" s="769"/>
      <c r="G576" s="769"/>
      <c r="H576" s="769"/>
      <c r="I576" s="769"/>
      <c r="J576" s="769"/>
      <c r="K576" s="769"/>
      <c r="L576" s="769"/>
      <c r="M576" s="769"/>
      <c r="N576" s="769"/>
      <c r="O576" s="769"/>
      <c r="P576" s="769"/>
      <c r="Q576" s="769"/>
      <c r="R576" s="769"/>
      <c r="S576" s="230"/>
    </row>
    <row r="577" spans="1:19" ht="13" hidden="1" x14ac:dyDescent="0.3">
      <c r="A577" s="215"/>
      <c r="B577" s="250" t="s">
        <v>695</v>
      </c>
      <c r="C577" s="228" t="b">
        <v>1</v>
      </c>
      <c r="D577" s="228"/>
      <c r="E577" s="228"/>
      <c r="F577" s="228"/>
      <c r="G577" s="228"/>
      <c r="H577" s="228"/>
      <c r="I577" s="228"/>
      <c r="J577" s="228"/>
      <c r="K577" s="228"/>
      <c r="L577" s="228"/>
      <c r="M577" s="228"/>
      <c r="N577" s="228"/>
      <c r="O577" s="228"/>
      <c r="P577" s="228"/>
      <c r="Q577" s="228"/>
      <c r="R577" s="228"/>
      <c r="S577" s="230"/>
    </row>
    <row r="578" spans="1:19" hidden="1" x14ac:dyDescent="0.25">
      <c r="A578" s="215"/>
      <c r="B578" s="330" t="s">
        <v>696</v>
      </c>
      <c r="C578" s="769" t="b">
        <v>1</v>
      </c>
      <c r="D578" s="769"/>
      <c r="E578" s="769" t="b">
        <v>1</v>
      </c>
      <c r="F578" s="769"/>
      <c r="G578" s="769" t="b">
        <v>1</v>
      </c>
      <c r="H578" s="769"/>
      <c r="I578" s="769" t="b">
        <v>1</v>
      </c>
      <c r="J578" s="769"/>
      <c r="K578" s="769" t="b">
        <v>1</v>
      </c>
      <c r="L578" s="769"/>
      <c r="M578" s="769" t="b">
        <v>1</v>
      </c>
      <c r="N578" s="769"/>
      <c r="O578" s="769" t="b">
        <v>1</v>
      </c>
      <c r="P578" s="769"/>
      <c r="Q578" s="769" t="b">
        <v>1</v>
      </c>
      <c r="R578" s="769"/>
      <c r="S578" s="230"/>
    </row>
    <row r="579" spans="1:19" hidden="1" x14ac:dyDescent="0.25">
      <c r="A579" s="215"/>
      <c r="B579" s="81" t="s">
        <v>697</v>
      </c>
      <c r="C579" s="769" t="b">
        <v>1</v>
      </c>
      <c r="D579" s="769"/>
      <c r="E579" s="769"/>
      <c r="F579" s="769"/>
      <c r="G579" s="769"/>
      <c r="H579" s="769"/>
      <c r="I579" s="769"/>
      <c r="J579" s="769"/>
      <c r="K579" s="769"/>
      <c r="L579" s="769"/>
      <c r="M579" s="769"/>
      <c r="N579" s="769"/>
      <c r="O579" s="769"/>
      <c r="P579" s="769"/>
      <c r="Q579" s="769"/>
      <c r="R579" s="769"/>
      <c r="S579" s="230"/>
    </row>
    <row r="580" spans="1:19" ht="13" hidden="1" x14ac:dyDescent="0.3">
      <c r="A580" s="215"/>
      <c r="B580" s="250" t="s">
        <v>698</v>
      </c>
      <c r="C580" s="228"/>
      <c r="D580" s="228"/>
      <c r="E580" s="228"/>
      <c r="F580" s="228"/>
      <c r="G580" s="228"/>
      <c r="H580" s="228"/>
      <c r="I580" s="228"/>
      <c r="J580" s="228"/>
      <c r="K580" s="228"/>
      <c r="L580" s="228"/>
      <c r="M580" s="228"/>
      <c r="N580" s="228"/>
      <c r="O580" s="228"/>
      <c r="P580" s="228"/>
      <c r="Q580" s="228"/>
      <c r="R580" s="228"/>
      <c r="S580" s="230"/>
    </row>
    <row r="581" spans="1:19" hidden="1" x14ac:dyDescent="0.25">
      <c r="A581" s="215"/>
      <c r="B581" s="81" t="s">
        <v>698</v>
      </c>
      <c r="C581" s="769" t="s">
        <v>794</v>
      </c>
      <c r="D581" s="769"/>
      <c r="E581" s="769"/>
      <c r="F581" s="769"/>
      <c r="G581" s="769"/>
      <c r="H581" s="769"/>
      <c r="I581" s="769"/>
      <c r="J581" s="769"/>
      <c r="K581" s="769"/>
      <c r="L581" s="769"/>
      <c r="M581" s="769"/>
      <c r="N581" s="769"/>
      <c r="O581" s="769"/>
      <c r="P581" s="769"/>
      <c r="Q581" s="769"/>
      <c r="R581" s="769"/>
      <c r="S581" s="230"/>
    </row>
    <row r="582" spans="1:19" ht="13" hidden="1" x14ac:dyDescent="0.3">
      <c r="A582" s="215"/>
      <c r="B582" s="250" t="s">
        <v>699</v>
      </c>
      <c r="C582" s="228" t="s">
        <v>794</v>
      </c>
      <c r="D582" s="228"/>
      <c r="E582" s="228"/>
      <c r="F582" s="228"/>
      <c r="G582" s="228"/>
      <c r="H582" s="228"/>
      <c r="I582" s="228"/>
      <c r="J582" s="228"/>
      <c r="K582" s="228"/>
      <c r="L582" s="228"/>
      <c r="M582" s="228"/>
      <c r="N582" s="228"/>
      <c r="O582" s="228"/>
      <c r="P582" s="228"/>
      <c r="Q582" s="228"/>
      <c r="R582" s="228"/>
      <c r="S582" s="230"/>
    </row>
    <row r="583" spans="1:19" ht="15.75" hidden="1" customHeight="1" x14ac:dyDescent="0.25">
      <c r="A583" s="215"/>
      <c r="B583" s="330" t="s">
        <v>700</v>
      </c>
      <c r="C583" s="769" t="b">
        <v>1</v>
      </c>
      <c r="D583" s="769"/>
      <c r="E583" s="769" t="b">
        <v>1</v>
      </c>
      <c r="F583" s="769"/>
      <c r="G583" s="769" t="b">
        <v>1</v>
      </c>
      <c r="H583" s="769"/>
      <c r="I583" s="769" t="b">
        <v>1</v>
      </c>
      <c r="J583" s="769"/>
      <c r="K583" s="769" t="b">
        <v>1</v>
      </c>
      <c r="L583" s="769"/>
      <c r="M583" s="769" t="b">
        <v>1</v>
      </c>
      <c r="N583" s="769"/>
      <c r="O583" s="769" t="b">
        <v>1</v>
      </c>
      <c r="P583" s="769"/>
      <c r="Q583" s="769" t="b">
        <v>1</v>
      </c>
      <c r="R583" s="769"/>
      <c r="S583" s="230"/>
    </row>
    <row r="584" spans="1:19" ht="12.75" customHeight="1" x14ac:dyDescent="0.25">
      <c r="A584" s="59"/>
      <c r="C584" s="331" t="b">
        <v>1</v>
      </c>
      <c r="D584" s="331"/>
      <c r="F584" s="91"/>
      <c r="G584" s="91"/>
      <c r="H584" s="91"/>
      <c r="I584" s="91"/>
      <c r="J584" s="91"/>
      <c r="K584" s="91"/>
      <c r="L584" s="91"/>
      <c r="M584" s="91"/>
      <c r="N584" s="91"/>
      <c r="R584" s="332"/>
      <c r="S584" s="61"/>
    </row>
    <row r="585" spans="1:19" ht="12.75" customHeight="1" x14ac:dyDescent="0.25">
      <c r="A585" s="59"/>
      <c r="C585" s="331"/>
      <c r="D585" s="331"/>
      <c r="F585" s="91"/>
      <c r="G585" s="91"/>
      <c r="H585" s="91"/>
      <c r="I585" s="91"/>
      <c r="J585" s="91"/>
      <c r="K585" s="91"/>
      <c r="L585" s="91"/>
      <c r="M585" s="91"/>
      <c r="N585" s="91"/>
      <c r="R585" s="332"/>
      <c r="S585" s="61"/>
    </row>
    <row r="586" spans="1:19" ht="12.75" customHeight="1" x14ac:dyDescent="0.25">
      <c r="A586" s="59"/>
      <c r="C586" s="331"/>
      <c r="D586" s="331"/>
      <c r="F586" s="91"/>
      <c r="G586" s="91"/>
      <c r="H586" s="91"/>
      <c r="I586" s="91"/>
      <c r="J586" s="91"/>
      <c r="K586" s="91"/>
      <c r="L586" s="91"/>
      <c r="M586" s="91"/>
      <c r="N586" s="91"/>
      <c r="R586" s="332"/>
      <c r="S586" s="61"/>
    </row>
    <row r="587" spans="1:19" ht="12.75" customHeight="1" x14ac:dyDescent="0.25">
      <c r="A587" s="59"/>
      <c r="C587" s="331"/>
      <c r="D587" s="331"/>
      <c r="F587" s="91"/>
      <c r="G587" s="91"/>
      <c r="H587" s="91"/>
      <c r="I587" s="91"/>
      <c r="J587" s="91"/>
      <c r="K587" s="91"/>
      <c r="L587" s="91"/>
      <c r="M587" s="91"/>
      <c r="N587" s="91"/>
      <c r="R587" s="332"/>
      <c r="S587" s="61"/>
    </row>
    <row r="588" spans="1:19" ht="12.75" customHeight="1" x14ac:dyDescent="0.25">
      <c r="A588" s="59"/>
      <c r="C588" s="331"/>
      <c r="D588" s="331"/>
      <c r="F588" s="91"/>
      <c r="G588" s="91"/>
      <c r="H588" s="91"/>
      <c r="I588" s="91"/>
      <c r="J588" s="91"/>
      <c r="K588" s="91"/>
      <c r="L588" s="91"/>
      <c r="M588" s="91"/>
      <c r="N588" s="91"/>
      <c r="R588" s="332"/>
      <c r="S588" s="61"/>
    </row>
    <row r="589" spans="1:19" ht="13" thickBot="1" x14ac:dyDescent="0.3">
      <c r="A589" s="233"/>
      <c r="B589" s="234"/>
      <c r="C589" s="234"/>
      <c r="D589" s="234"/>
      <c r="E589" s="234"/>
      <c r="F589" s="234"/>
      <c r="G589" s="234"/>
      <c r="H589" s="234"/>
      <c r="I589" s="234"/>
      <c r="J589" s="234"/>
      <c r="K589" s="234"/>
      <c r="L589" s="234"/>
      <c r="M589" s="234"/>
      <c r="N589" s="234"/>
      <c r="O589" s="234"/>
      <c r="P589" s="234"/>
      <c r="Q589" s="234"/>
      <c r="R589" s="234"/>
      <c r="S589" s="185"/>
    </row>
  </sheetData>
  <dataConsolidate/>
  <mergeCells count="278">
    <mergeCell ref="O583:P583"/>
    <mergeCell ref="Q583:R583"/>
    <mergeCell ref="O578:P578"/>
    <mergeCell ref="Q578:R578"/>
    <mergeCell ref="C579:R579"/>
    <mergeCell ref="C581:R581"/>
    <mergeCell ref="C583:D583"/>
    <mergeCell ref="E583:F583"/>
    <mergeCell ref="G583:H583"/>
    <mergeCell ref="I583:J583"/>
    <mergeCell ref="K583:L583"/>
    <mergeCell ref="M583:N583"/>
    <mergeCell ref="C578:D578"/>
    <mergeCell ref="E578:F578"/>
    <mergeCell ref="G578:H578"/>
    <mergeCell ref="I578:J578"/>
    <mergeCell ref="K578:L578"/>
    <mergeCell ref="M578:N578"/>
    <mergeCell ref="M555:N555"/>
    <mergeCell ref="O555:P555"/>
    <mergeCell ref="Q555:R555"/>
    <mergeCell ref="C571:R571"/>
    <mergeCell ref="C572:R572"/>
    <mergeCell ref="C576:R576"/>
    <mergeCell ref="O542:P542"/>
    <mergeCell ref="Q542:R542"/>
    <mergeCell ref="C547:R547"/>
    <mergeCell ref="C548:R548"/>
    <mergeCell ref="C554:R554"/>
    <mergeCell ref="C555:D555"/>
    <mergeCell ref="E555:F555"/>
    <mergeCell ref="G555:H555"/>
    <mergeCell ref="I555:J555"/>
    <mergeCell ref="K555:L555"/>
    <mergeCell ref="C542:D542"/>
    <mergeCell ref="E542:F542"/>
    <mergeCell ref="G542:H542"/>
    <mergeCell ref="I542:J542"/>
    <mergeCell ref="K542:L542"/>
    <mergeCell ref="M542:N542"/>
    <mergeCell ref="O524:P524"/>
    <mergeCell ref="Q524:R524"/>
    <mergeCell ref="C536:R536"/>
    <mergeCell ref="C537:R537"/>
    <mergeCell ref="C538:R538"/>
    <mergeCell ref="C541:R541"/>
    <mergeCell ref="O491:P491"/>
    <mergeCell ref="Q491:R491"/>
    <mergeCell ref="C492:R492"/>
    <mergeCell ref="C523:R523"/>
    <mergeCell ref="C524:D524"/>
    <mergeCell ref="E524:F524"/>
    <mergeCell ref="G524:H524"/>
    <mergeCell ref="I524:J524"/>
    <mergeCell ref="K524:L524"/>
    <mergeCell ref="M524:N524"/>
    <mergeCell ref="C491:D491"/>
    <mergeCell ref="E491:F491"/>
    <mergeCell ref="G491:H491"/>
    <mergeCell ref="I491:J491"/>
    <mergeCell ref="K491:L491"/>
    <mergeCell ref="M491:N491"/>
    <mergeCell ref="C480:R480"/>
    <mergeCell ref="C490:D490"/>
    <mergeCell ref="E490:F490"/>
    <mergeCell ref="G490:H490"/>
    <mergeCell ref="I490:J490"/>
    <mergeCell ref="K490:L490"/>
    <mergeCell ref="M490:N490"/>
    <mergeCell ref="O490:P490"/>
    <mergeCell ref="Q490:R490"/>
    <mergeCell ref="O477:P477"/>
    <mergeCell ref="Q477:R477"/>
    <mergeCell ref="C479:D479"/>
    <mergeCell ref="E479:F479"/>
    <mergeCell ref="G479:H479"/>
    <mergeCell ref="I479:J479"/>
    <mergeCell ref="K479:L479"/>
    <mergeCell ref="M479:N479"/>
    <mergeCell ref="O479:P479"/>
    <mergeCell ref="Q479:R479"/>
    <mergeCell ref="O466:P466"/>
    <mergeCell ref="Q466:R466"/>
    <mergeCell ref="A474:S474"/>
    <mergeCell ref="C476:R476"/>
    <mergeCell ref="C477:D477"/>
    <mergeCell ref="E477:F477"/>
    <mergeCell ref="G477:H477"/>
    <mergeCell ref="I477:J477"/>
    <mergeCell ref="K477:L477"/>
    <mergeCell ref="M477:N477"/>
    <mergeCell ref="C466:D466"/>
    <mergeCell ref="E466:F466"/>
    <mergeCell ref="G466:H466"/>
    <mergeCell ref="I466:J466"/>
    <mergeCell ref="K466:L466"/>
    <mergeCell ref="M466:N466"/>
    <mergeCell ref="O437:P437"/>
    <mergeCell ref="Q437:R437"/>
    <mergeCell ref="C448:D448"/>
    <mergeCell ref="E448:F448"/>
    <mergeCell ref="G448:H448"/>
    <mergeCell ref="I448:J448"/>
    <mergeCell ref="K448:L448"/>
    <mergeCell ref="M448:N448"/>
    <mergeCell ref="O448:P448"/>
    <mergeCell ref="Q448:R448"/>
    <mergeCell ref="C437:D437"/>
    <mergeCell ref="E437:F437"/>
    <mergeCell ref="G437:H437"/>
    <mergeCell ref="I437:J437"/>
    <mergeCell ref="K437:L437"/>
    <mergeCell ref="M437:N437"/>
    <mergeCell ref="O417:P417"/>
    <mergeCell ref="Q417:R417"/>
    <mergeCell ref="C435:R435"/>
    <mergeCell ref="C436:F436"/>
    <mergeCell ref="G436:J436"/>
    <mergeCell ref="K436:N436"/>
    <mergeCell ref="O436:R436"/>
    <mergeCell ref="C417:D417"/>
    <mergeCell ref="E417:F417"/>
    <mergeCell ref="G417:H417"/>
    <mergeCell ref="I417:J417"/>
    <mergeCell ref="K417:L417"/>
    <mergeCell ref="M417:N417"/>
    <mergeCell ref="O415:P415"/>
    <mergeCell ref="Q415:R415"/>
    <mergeCell ref="C416:D416"/>
    <mergeCell ref="E416:F416"/>
    <mergeCell ref="G416:H416"/>
    <mergeCell ref="I416:J416"/>
    <mergeCell ref="K416:L416"/>
    <mergeCell ref="M416:N416"/>
    <mergeCell ref="O416:P416"/>
    <mergeCell ref="Q416:R416"/>
    <mergeCell ref="C415:D415"/>
    <mergeCell ref="E415:F415"/>
    <mergeCell ref="G415:H415"/>
    <mergeCell ref="I415:J415"/>
    <mergeCell ref="K415:L415"/>
    <mergeCell ref="M415:N415"/>
    <mergeCell ref="O407:P407"/>
    <mergeCell ref="Q407:R407"/>
    <mergeCell ref="C414:D414"/>
    <mergeCell ref="E414:F414"/>
    <mergeCell ref="G414:H414"/>
    <mergeCell ref="I414:J414"/>
    <mergeCell ref="K414:L414"/>
    <mergeCell ref="M414:N414"/>
    <mergeCell ref="O414:P414"/>
    <mergeCell ref="Q414:R414"/>
    <mergeCell ref="O401:P401"/>
    <mergeCell ref="Q401:R401"/>
    <mergeCell ref="A404:S404"/>
    <mergeCell ref="C406:R406"/>
    <mergeCell ref="C407:D407"/>
    <mergeCell ref="E407:F407"/>
    <mergeCell ref="G407:H407"/>
    <mergeCell ref="I407:J407"/>
    <mergeCell ref="K407:L407"/>
    <mergeCell ref="M407:N407"/>
    <mergeCell ref="C401:D401"/>
    <mergeCell ref="E401:F401"/>
    <mergeCell ref="G401:H401"/>
    <mergeCell ref="I401:J401"/>
    <mergeCell ref="K401:L401"/>
    <mergeCell ref="M401:N401"/>
    <mergeCell ref="O396:P396"/>
    <mergeCell ref="Q396:R396"/>
    <mergeCell ref="C398:D398"/>
    <mergeCell ref="E398:F398"/>
    <mergeCell ref="G398:H398"/>
    <mergeCell ref="I398:J398"/>
    <mergeCell ref="K398:L398"/>
    <mergeCell ref="M398:N398"/>
    <mergeCell ref="O398:P398"/>
    <mergeCell ref="Q398:R398"/>
    <mergeCell ref="C396:D396"/>
    <mergeCell ref="E396:F396"/>
    <mergeCell ref="G396:H396"/>
    <mergeCell ref="I396:J396"/>
    <mergeCell ref="K396:L396"/>
    <mergeCell ref="M396:N396"/>
    <mergeCell ref="O392:P392"/>
    <mergeCell ref="Q392:R392"/>
    <mergeCell ref="C394:D394"/>
    <mergeCell ref="E394:F394"/>
    <mergeCell ref="G394:H394"/>
    <mergeCell ref="I394:J394"/>
    <mergeCell ref="K394:L394"/>
    <mergeCell ref="M394:N394"/>
    <mergeCell ref="O394:P394"/>
    <mergeCell ref="Q394:R394"/>
    <mergeCell ref="C392:D392"/>
    <mergeCell ref="E392:F392"/>
    <mergeCell ref="G392:H392"/>
    <mergeCell ref="I392:J392"/>
    <mergeCell ref="K392:L392"/>
    <mergeCell ref="M392:N392"/>
    <mergeCell ref="O386:P386"/>
    <mergeCell ref="Q386:R386"/>
    <mergeCell ref="C390:D390"/>
    <mergeCell ref="E390:F390"/>
    <mergeCell ref="G390:H390"/>
    <mergeCell ref="I390:J390"/>
    <mergeCell ref="K390:L390"/>
    <mergeCell ref="M390:N390"/>
    <mergeCell ref="O390:P390"/>
    <mergeCell ref="Q390:R390"/>
    <mergeCell ref="C386:D386"/>
    <mergeCell ref="E386:F386"/>
    <mergeCell ref="G386:H386"/>
    <mergeCell ref="I386:J386"/>
    <mergeCell ref="K386:L386"/>
    <mergeCell ref="M386:N386"/>
    <mergeCell ref="O384:P384"/>
    <mergeCell ref="Q384:R384"/>
    <mergeCell ref="C385:D385"/>
    <mergeCell ref="E385:F385"/>
    <mergeCell ref="G385:H385"/>
    <mergeCell ref="I385:J385"/>
    <mergeCell ref="K385:L385"/>
    <mergeCell ref="M385:N385"/>
    <mergeCell ref="O385:P385"/>
    <mergeCell ref="Q385:R385"/>
    <mergeCell ref="C384:D384"/>
    <mergeCell ref="E384:F384"/>
    <mergeCell ref="G384:H384"/>
    <mergeCell ref="I384:J384"/>
    <mergeCell ref="K384:L384"/>
    <mergeCell ref="M384:N384"/>
    <mergeCell ref="Q361:R361"/>
    <mergeCell ref="C382:D382"/>
    <mergeCell ref="E382:F382"/>
    <mergeCell ref="G382:H382"/>
    <mergeCell ref="I382:J382"/>
    <mergeCell ref="K382:L382"/>
    <mergeCell ref="M382:N382"/>
    <mergeCell ref="O382:P382"/>
    <mergeCell ref="Q382:R382"/>
    <mergeCell ref="O342:P342"/>
    <mergeCell ref="Q342:R342"/>
    <mergeCell ref="B351:N351"/>
    <mergeCell ref="C361:D361"/>
    <mergeCell ref="E361:F361"/>
    <mergeCell ref="G361:H361"/>
    <mergeCell ref="I361:J361"/>
    <mergeCell ref="K361:L361"/>
    <mergeCell ref="M361:N361"/>
    <mergeCell ref="O361:P361"/>
    <mergeCell ref="B332:N332"/>
    <mergeCell ref="C342:D342"/>
    <mergeCell ref="E342:F342"/>
    <mergeCell ref="G342:H342"/>
    <mergeCell ref="I342:J342"/>
    <mergeCell ref="K342:L342"/>
    <mergeCell ref="M342:N342"/>
    <mergeCell ref="X81:X82"/>
    <mergeCell ref="Y81:Z81"/>
    <mergeCell ref="C82:D82"/>
    <mergeCell ref="E82:F82"/>
    <mergeCell ref="G82:H82"/>
    <mergeCell ref="I82:J82"/>
    <mergeCell ref="K82:L82"/>
    <mergeCell ref="M82:N82"/>
    <mergeCell ref="O82:P82"/>
    <mergeCell ref="Q82:R82"/>
    <mergeCell ref="A46:S46"/>
    <mergeCell ref="C80:R80"/>
    <mergeCell ref="U80:W80"/>
    <mergeCell ref="X80:Z80"/>
    <mergeCell ref="C81:F81"/>
    <mergeCell ref="G81:J81"/>
    <mergeCell ref="K81:N81"/>
    <mergeCell ref="O81:R81"/>
    <mergeCell ref="U81:U82"/>
    <mergeCell ref="V81:W81"/>
  </mergeCells>
  <printOptions verticalCentered="1"/>
  <pageMargins left="0.78740157480314965" right="0.78740157480314965" top="0.78740157480314965" bottom="0.78740157480314965" header="0.39370078740157483" footer="0.39370078740157483"/>
  <pageSetup paperSize="8" scale="22" orientation="portrait" r:id="rId1"/>
  <headerFooter alignWithMargins="0">
    <oddHeader>&amp;L&amp;G&amp;RFX7210 Cerberus Quantities Tool</oddHeader>
    <oddFooter>&amp;LBuilding Technologies
Fire Safety + Security Products&amp;R&amp;F
&amp;D</oddFooter>
  </headerFooter>
  <drawing r:id="rId2"/>
  <legacyDrawing r:id="rId3"/>
  <legacyDrawingHF r:id="rId4"/>
  <controls>
    <mc:AlternateContent xmlns:mc="http://schemas.openxmlformats.org/markup-compatibility/2006">
      <mc:Choice Requires="x14">
        <control shapeId="2744346" r:id="rId5" name="Calculate_FDnet_1">
          <controlPr defaultSize="0" autoLine="0" r:id="rId6">
            <anchor moveWithCells="1" sizeWithCells="1">
              <from>
                <xdr:col>1</xdr:col>
                <xdr:colOff>704850</xdr:colOff>
                <xdr:row>39</xdr:row>
                <xdr:rowOff>38100</xdr:rowOff>
              </from>
              <to>
                <xdr:col>1</xdr:col>
                <xdr:colOff>3752850</xdr:colOff>
                <xdr:row>44</xdr:row>
                <xdr:rowOff>0</xdr:rowOff>
              </to>
            </anchor>
          </controlPr>
        </control>
      </mc:Choice>
      <mc:Fallback>
        <control shapeId="2744346" r:id="rId5" name="Calculate_FDnet_1"/>
      </mc:Fallback>
    </mc:AlternateContent>
    <mc:AlternateContent xmlns:mc="http://schemas.openxmlformats.org/markup-compatibility/2006">
      <mc:Choice Requires="x14">
        <control shapeId="2744345" r:id="rId7" name="ChooseCableTyp">
          <controlPr defaultSize="0" autoLine="0" r:id="rId8">
            <anchor moveWithCells="1" sizeWithCells="1">
              <from>
                <xdr:col>1</xdr:col>
                <xdr:colOff>1885950</xdr:colOff>
                <xdr:row>405</xdr:row>
                <xdr:rowOff>19050</xdr:rowOff>
              </from>
              <to>
                <xdr:col>1</xdr:col>
                <xdr:colOff>4324350</xdr:colOff>
                <xdr:row>406</xdr:row>
                <xdr:rowOff>146050</xdr:rowOff>
              </to>
            </anchor>
          </controlPr>
        </control>
      </mc:Choice>
      <mc:Fallback>
        <control shapeId="2744345" r:id="rId7" name="ChooseCableTyp"/>
      </mc:Fallback>
    </mc:AlternateContent>
    <mc:AlternateContent xmlns:mc="http://schemas.openxmlformats.org/markup-compatibility/2006">
      <mc:Choice Requires="x14">
        <control shapeId="2744344" r:id="rId9" name="Calculate_FDnet_2">
          <controlPr defaultSize="0" autoLine="0" r:id="rId10">
            <anchor moveWithCells="1" sizeWithCells="1">
              <from>
                <xdr:col>1</xdr:col>
                <xdr:colOff>666750</xdr:colOff>
                <xdr:row>583</xdr:row>
                <xdr:rowOff>19050</xdr:rowOff>
              </from>
              <to>
                <xdr:col>1</xdr:col>
                <xdr:colOff>3714750</xdr:colOff>
                <xdr:row>587</xdr:row>
                <xdr:rowOff>114300</xdr:rowOff>
              </to>
            </anchor>
          </controlPr>
        </control>
      </mc:Choice>
      <mc:Fallback>
        <control shapeId="2744344" r:id="rId9" name="Calculate_FDnet_2"/>
      </mc:Fallback>
    </mc:AlternateContent>
    <mc:AlternateContent xmlns:mc="http://schemas.openxmlformats.org/markup-compatibility/2006">
      <mc:Choice Requires="x14">
        <control shapeId="2744343" r:id="rId11" name="Loop1">
          <controlPr defaultSize="0" autoLine="0" r:id="rId12">
            <anchor moveWithCells="1" sizeWithCells="1">
              <from>
                <xdr:col>2</xdr:col>
                <xdr:colOff>57150</xdr:colOff>
                <xdr:row>80</xdr:row>
                <xdr:rowOff>50800</xdr:rowOff>
              </from>
              <to>
                <xdr:col>3</xdr:col>
                <xdr:colOff>450850</xdr:colOff>
                <xdr:row>80</xdr:row>
                <xdr:rowOff>336550</xdr:rowOff>
              </to>
            </anchor>
          </controlPr>
        </control>
      </mc:Choice>
      <mc:Fallback>
        <control shapeId="2744343" r:id="rId11" name="Loop1"/>
      </mc:Fallback>
    </mc:AlternateContent>
    <mc:AlternateContent xmlns:mc="http://schemas.openxmlformats.org/markup-compatibility/2006">
      <mc:Choice Requires="x14">
        <control shapeId="2744342" r:id="rId13" name="Loop1_Calculation">
          <controlPr defaultSize="0" autoLine="0" r:id="rId14">
            <anchor moveWithCells="1" sizeWithCells="1">
              <from>
                <xdr:col>2</xdr:col>
                <xdr:colOff>50800</xdr:colOff>
                <xdr:row>435</xdr:row>
                <xdr:rowOff>50800</xdr:rowOff>
              </from>
              <to>
                <xdr:col>3</xdr:col>
                <xdr:colOff>438150</xdr:colOff>
                <xdr:row>435</xdr:row>
                <xdr:rowOff>336550</xdr:rowOff>
              </to>
            </anchor>
          </controlPr>
        </control>
      </mc:Choice>
      <mc:Fallback>
        <control shapeId="2744342" r:id="rId13" name="Loop1_Calculation"/>
      </mc:Fallback>
    </mc:AlternateContent>
    <mc:AlternateContent xmlns:mc="http://schemas.openxmlformats.org/markup-compatibility/2006">
      <mc:Choice Requires="x14">
        <control shapeId="2744341" r:id="rId15" name="AlarmIndicator">
          <controlPr defaultSize="0" autoLine="0" r:id="rId16">
            <anchor moveWithCells="1">
              <from>
                <xdr:col>1</xdr:col>
                <xdr:colOff>1631950</xdr:colOff>
                <xdr:row>60</xdr:row>
                <xdr:rowOff>133350</xdr:rowOff>
              </from>
              <to>
                <xdr:col>1</xdr:col>
                <xdr:colOff>4076700</xdr:colOff>
                <xdr:row>60</xdr:row>
                <xdr:rowOff>419100</xdr:rowOff>
              </to>
            </anchor>
          </controlPr>
        </control>
      </mc:Choice>
      <mc:Fallback>
        <control shapeId="2744341" r:id="rId15" name="AlarmIndicator"/>
      </mc:Fallback>
    </mc:AlternateContent>
    <mc:AlternateContent xmlns:mc="http://schemas.openxmlformats.org/markup-compatibility/2006">
      <mc:Choice Requires="x14">
        <control shapeId="2744340" r:id="rId17" name="CheckBox_4_1_Ex2">
          <controlPr defaultSize="0" autoLine="0" autoPict="0" altText="" linkedCell="O361" r:id="rId18">
            <anchor moveWithCells="1" sizeWithCells="1">
              <from>
                <xdr:col>14</xdr:col>
                <xdr:colOff>19050</xdr:colOff>
                <xdr:row>351</xdr:row>
                <xdr:rowOff>19050</xdr:rowOff>
              </from>
              <to>
                <xdr:col>15</xdr:col>
                <xdr:colOff>450850</xdr:colOff>
                <xdr:row>352</xdr:row>
                <xdr:rowOff>0</xdr:rowOff>
              </to>
            </anchor>
          </controlPr>
        </control>
      </mc:Choice>
      <mc:Fallback>
        <control shapeId="2744340" r:id="rId17" name="CheckBox_4_1_Ex2"/>
      </mc:Fallback>
    </mc:AlternateContent>
    <mc:AlternateContent xmlns:mc="http://schemas.openxmlformats.org/markup-compatibility/2006">
      <mc:Choice Requires="x14">
        <control shapeId="2744339" r:id="rId19" name="CheckBox_3_1_Ex2">
          <controlPr defaultSize="0" autoLine="0" autoPict="0" altText="" linkedCell="K361" r:id="rId20">
            <anchor moveWithCells="1" sizeWithCells="1">
              <from>
                <xdr:col>10</xdr:col>
                <xdr:colOff>19050</xdr:colOff>
                <xdr:row>351</xdr:row>
                <xdr:rowOff>19050</xdr:rowOff>
              </from>
              <to>
                <xdr:col>11</xdr:col>
                <xdr:colOff>450850</xdr:colOff>
                <xdr:row>352</xdr:row>
                <xdr:rowOff>0</xdr:rowOff>
              </to>
            </anchor>
          </controlPr>
        </control>
      </mc:Choice>
      <mc:Fallback>
        <control shapeId="2744339" r:id="rId19" name="CheckBox_3_1_Ex2"/>
      </mc:Fallback>
    </mc:AlternateContent>
    <mc:AlternateContent xmlns:mc="http://schemas.openxmlformats.org/markup-compatibility/2006">
      <mc:Choice Requires="x14">
        <control shapeId="2744338" r:id="rId21" name="CheckBox_2_1_Ex2">
          <controlPr defaultSize="0" disabled="1" autoLine="0" autoPict="0" altText="" linkedCell="G361" r:id="rId22">
            <anchor moveWithCells="1" sizeWithCells="1">
              <from>
                <xdr:col>6</xdr:col>
                <xdr:colOff>19050</xdr:colOff>
                <xdr:row>351</xdr:row>
                <xdr:rowOff>19050</xdr:rowOff>
              </from>
              <to>
                <xdr:col>7</xdr:col>
                <xdr:colOff>450850</xdr:colOff>
                <xdr:row>352</xdr:row>
                <xdr:rowOff>0</xdr:rowOff>
              </to>
            </anchor>
          </controlPr>
        </control>
      </mc:Choice>
      <mc:Fallback>
        <control shapeId="2744338" r:id="rId21" name="CheckBox_2_1_Ex2"/>
      </mc:Fallback>
    </mc:AlternateContent>
    <mc:AlternateContent xmlns:mc="http://schemas.openxmlformats.org/markup-compatibility/2006">
      <mc:Choice Requires="x14">
        <control shapeId="2744337" r:id="rId23" name="CheckBox_1_1_Ex2">
          <controlPr defaultSize="0" autoLine="0" autoPict="0" altText="" linkedCell="C361" r:id="rId24">
            <anchor moveWithCells="1" sizeWithCells="1">
              <from>
                <xdr:col>2</xdr:col>
                <xdr:colOff>19050</xdr:colOff>
                <xdr:row>351</xdr:row>
                <xdr:rowOff>19050</xdr:rowOff>
              </from>
              <to>
                <xdr:col>3</xdr:col>
                <xdr:colOff>450850</xdr:colOff>
                <xdr:row>352</xdr:row>
                <xdr:rowOff>0</xdr:rowOff>
              </to>
            </anchor>
          </controlPr>
        </control>
      </mc:Choice>
      <mc:Fallback>
        <control shapeId="2744337" r:id="rId23" name="CheckBox_1_1_Ex2"/>
      </mc:Fallback>
    </mc:AlternateContent>
    <mc:AlternateContent xmlns:mc="http://schemas.openxmlformats.org/markup-compatibility/2006">
      <mc:Choice Requires="x14">
        <control shapeId="2744336" r:id="rId25" name="CheckBox_4_1_Ex1">
          <controlPr defaultSize="0" autoLine="0" autoPict="0" altText="" linkedCell="O342" r:id="rId26">
            <anchor moveWithCells="1" sizeWithCells="1">
              <from>
                <xdr:col>14</xdr:col>
                <xdr:colOff>19050</xdr:colOff>
                <xdr:row>332</xdr:row>
                <xdr:rowOff>19050</xdr:rowOff>
              </from>
              <to>
                <xdr:col>15</xdr:col>
                <xdr:colOff>450850</xdr:colOff>
                <xdr:row>333</xdr:row>
                <xdr:rowOff>0</xdr:rowOff>
              </to>
            </anchor>
          </controlPr>
        </control>
      </mc:Choice>
      <mc:Fallback>
        <control shapeId="2744336" r:id="rId25" name="CheckBox_4_1_Ex1"/>
      </mc:Fallback>
    </mc:AlternateContent>
    <mc:AlternateContent xmlns:mc="http://schemas.openxmlformats.org/markup-compatibility/2006">
      <mc:Choice Requires="x14">
        <control shapeId="2744335" r:id="rId27" name="CheckBox_3_2_Ex">
          <controlPr defaultSize="0" autoLine="0" autoPict="0" altText="" linkedCell="M342" r:id="rId28">
            <anchor moveWithCells="1" sizeWithCells="1">
              <from>
                <xdr:col>12</xdr:col>
                <xdr:colOff>19050</xdr:colOff>
                <xdr:row>332</xdr:row>
                <xdr:rowOff>19050</xdr:rowOff>
              </from>
              <to>
                <xdr:col>13</xdr:col>
                <xdr:colOff>438150</xdr:colOff>
                <xdr:row>333</xdr:row>
                <xdr:rowOff>0</xdr:rowOff>
              </to>
            </anchor>
          </controlPr>
        </control>
      </mc:Choice>
      <mc:Fallback>
        <control shapeId="2744335" r:id="rId27" name="CheckBox_3_2_Ex"/>
      </mc:Fallback>
    </mc:AlternateContent>
    <mc:AlternateContent xmlns:mc="http://schemas.openxmlformats.org/markup-compatibility/2006">
      <mc:Choice Requires="x14">
        <control shapeId="2744334" r:id="rId29" name="CheckBox_3_1_Ex1">
          <controlPr defaultSize="0" autoLine="0" autoPict="0" altText="" linkedCell="K342" r:id="rId30">
            <anchor moveWithCells="1" sizeWithCells="1">
              <from>
                <xdr:col>10</xdr:col>
                <xdr:colOff>19050</xdr:colOff>
                <xdr:row>332</xdr:row>
                <xdr:rowOff>19050</xdr:rowOff>
              </from>
              <to>
                <xdr:col>11</xdr:col>
                <xdr:colOff>450850</xdr:colOff>
                <xdr:row>333</xdr:row>
                <xdr:rowOff>0</xdr:rowOff>
              </to>
            </anchor>
          </controlPr>
        </control>
      </mc:Choice>
      <mc:Fallback>
        <control shapeId="2744334" r:id="rId29" name="CheckBox_3_1_Ex1"/>
      </mc:Fallback>
    </mc:AlternateContent>
    <mc:AlternateContent xmlns:mc="http://schemas.openxmlformats.org/markup-compatibility/2006">
      <mc:Choice Requires="x14">
        <control shapeId="2744333" r:id="rId31" name="CheckBox_2_2_Ex">
          <controlPr defaultSize="0" autoLine="0" autoPict="0" altText="" linkedCell="I342" r:id="rId32">
            <anchor moveWithCells="1" sizeWithCells="1">
              <from>
                <xdr:col>8</xdr:col>
                <xdr:colOff>19050</xdr:colOff>
                <xdr:row>332</xdr:row>
                <xdr:rowOff>19050</xdr:rowOff>
              </from>
              <to>
                <xdr:col>9</xdr:col>
                <xdr:colOff>450850</xdr:colOff>
                <xdr:row>333</xdr:row>
                <xdr:rowOff>0</xdr:rowOff>
              </to>
            </anchor>
          </controlPr>
        </control>
      </mc:Choice>
      <mc:Fallback>
        <control shapeId="2744333" r:id="rId31" name="CheckBox_2_2_Ex"/>
      </mc:Fallback>
    </mc:AlternateContent>
    <mc:AlternateContent xmlns:mc="http://schemas.openxmlformats.org/markup-compatibility/2006">
      <mc:Choice Requires="x14">
        <control shapeId="2744332" r:id="rId33" name="CheckBox_2_1_Ex1">
          <controlPr defaultSize="0" autoLine="0" autoPict="0" altText="" linkedCell="G342" r:id="rId34">
            <anchor moveWithCells="1" sizeWithCells="1">
              <from>
                <xdr:col>6</xdr:col>
                <xdr:colOff>19050</xdr:colOff>
                <xdr:row>332</xdr:row>
                <xdr:rowOff>19050</xdr:rowOff>
              </from>
              <to>
                <xdr:col>7</xdr:col>
                <xdr:colOff>450850</xdr:colOff>
                <xdr:row>333</xdr:row>
                <xdr:rowOff>0</xdr:rowOff>
              </to>
            </anchor>
          </controlPr>
        </control>
      </mc:Choice>
      <mc:Fallback>
        <control shapeId="2744332" r:id="rId33" name="CheckBox_2_1_Ex1"/>
      </mc:Fallback>
    </mc:AlternateContent>
    <mc:AlternateContent xmlns:mc="http://schemas.openxmlformats.org/markup-compatibility/2006">
      <mc:Choice Requires="x14">
        <control shapeId="2744331" r:id="rId35" name="CheckBox_1_2_Ex">
          <controlPr defaultSize="0" autoLine="0" autoPict="0" altText="" linkedCell="E342" r:id="rId36">
            <anchor moveWithCells="1" sizeWithCells="1">
              <from>
                <xdr:col>4</xdr:col>
                <xdr:colOff>19050</xdr:colOff>
                <xdr:row>332</xdr:row>
                <xdr:rowOff>19050</xdr:rowOff>
              </from>
              <to>
                <xdr:col>5</xdr:col>
                <xdr:colOff>450850</xdr:colOff>
                <xdr:row>333</xdr:row>
                <xdr:rowOff>0</xdr:rowOff>
              </to>
            </anchor>
          </controlPr>
        </control>
      </mc:Choice>
      <mc:Fallback>
        <control shapeId="2744331" r:id="rId35" name="CheckBox_1_2_Ex"/>
      </mc:Fallback>
    </mc:AlternateContent>
    <mc:AlternateContent xmlns:mc="http://schemas.openxmlformats.org/markup-compatibility/2006">
      <mc:Choice Requires="x14">
        <control shapeId="2744330" r:id="rId37" name="CheckBox_4_2_Ex">
          <controlPr defaultSize="0" autoLine="0" autoPict="0" altText="" linkedCell="Q342" r:id="rId38">
            <anchor moveWithCells="1" sizeWithCells="1">
              <from>
                <xdr:col>16</xdr:col>
                <xdr:colOff>19050</xdr:colOff>
                <xdr:row>332</xdr:row>
                <xdr:rowOff>19050</xdr:rowOff>
              </from>
              <to>
                <xdr:col>17</xdr:col>
                <xdr:colOff>450850</xdr:colOff>
                <xdr:row>333</xdr:row>
                <xdr:rowOff>0</xdr:rowOff>
              </to>
            </anchor>
          </controlPr>
        </control>
      </mc:Choice>
      <mc:Fallback>
        <control shapeId="2744330" r:id="rId37" name="CheckBox_4_2_Ex"/>
      </mc:Fallback>
    </mc:AlternateContent>
    <mc:AlternateContent xmlns:mc="http://schemas.openxmlformats.org/markup-compatibility/2006">
      <mc:Choice Requires="x14">
        <control shapeId="2744329" r:id="rId39" name="CheckBox_1_1_Ex1">
          <controlPr defaultSize="0" autoLine="0" autoPict="0" altText="" linkedCell="C342" r:id="rId40">
            <anchor moveWithCells="1" sizeWithCells="1">
              <from>
                <xdr:col>2</xdr:col>
                <xdr:colOff>19050</xdr:colOff>
                <xdr:row>332</xdr:row>
                <xdr:rowOff>19050</xdr:rowOff>
              </from>
              <to>
                <xdr:col>3</xdr:col>
                <xdr:colOff>450850</xdr:colOff>
                <xdr:row>333</xdr:row>
                <xdr:rowOff>0</xdr:rowOff>
              </to>
            </anchor>
          </controlPr>
        </control>
      </mc:Choice>
      <mc:Fallback>
        <control shapeId="2744329" r:id="rId39" name="CheckBox_1_1_Ex1"/>
      </mc:Fallback>
    </mc:AlternateContent>
    <mc:AlternateContent xmlns:mc="http://schemas.openxmlformats.org/markup-compatibility/2006">
      <mc:Choice Requires="x14">
        <control shapeId="2744328" r:id="rId41" name="Loop4_Calculation">
          <controlPr defaultSize="0" autoLine="0" r:id="rId42">
            <anchor moveWithCells="1" sizeWithCells="1">
              <from>
                <xdr:col>14</xdr:col>
                <xdr:colOff>31750</xdr:colOff>
                <xdr:row>435</xdr:row>
                <xdr:rowOff>50800</xdr:rowOff>
              </from>
              <to>
                <xdr:col>15</xdr:col>
                <xdr:colOff>431800</xdr:colOff>
                <xdr:row>435</xdr:row>
                <xdr:rowOff>336550</xdr:rowOff>
              </to>
            </anchor>
          </controlPr>
        </control>
      </mc:Choice>
      <mc:Fallback>
        <control shapeId="2744328" r:id="rId41" name="Loop4_Calculation"/>
      </mc:Fallback>
    </mc:AlternateContent>
    <mc:AlternateContent xmlns:mc="http://schemas.openxmlformats.org/markup-compatibility/2006">
      <mc:Choice Requires="x14">
        <control shapeId="2744327" r:id="rId43" name="Loop3_Calculation">
          <controlPr defaultSize="0" autoLine="0" r:id="rId44">
            <anchor moveWithCells="1" sizeWithCells="1">
              <from>
                <xdr:col>10</xdr:col>
                <xdr:colOff>38100</xdr:colOff>
                <xdr:row>435</xdr:row>
                <xdr:rowOff>50800</xdr:rowOff>
              </from>
              <to>
                <xdr:col>11</xdr:col>
                <xdr:colOff>438150</xdr:colOff>
                <xdr:row>435</xdr:row>
                <xdr:rowOff>336550</xdr:rowOff>
              </to>
            </anchor>
          </controlPr>
        </control>
      </mc:Choice>
      <mc:Fallback>
        <control shapeId="2744327" r:id="rId43" name="Loop3_Calculation"/>
      </mc:Fallback>
    </mc:AlternateContent>
    <mc:AlternateContent xmlns:mc="http://schemas.openxmlformats.org/markup-compatibility/2006">
      <mc:Choice Requires="x14">
        <control shapeId="2744326" r:id="rId45" name="Loop2_Calculation">
          <controlPr defaultSize="0" autoLine="0" r:id="rId46">
            <anchor moveWithCells="1" sizeWithCells="1">
              <from>
                <xdr:col>6</xdr:col>
                <xdr:colOff>31750</xdr:colOff>
                <xdr:row>435</xdr:row>
                <xdr:rowOff>50800</xdr:rowOff>
              </from>
              <to>
                <xdr:col>7</xdr:col>
                <xdr:colOff>431800</xdr:colOff>
                <xdr:row>435</xdr:row>
                <xdr:rowOff>336550</xdr:rowOff>
              </to>
            </anchor>
          </controlPr>
        </control>
      </mc:Choice>
      <mc:Fallback>
        <control shapeId="2744326" r:id="rId45" name="Loop2_Calculation"/>
      </mc:Fallback>
    </mc:AlternateContent>
    <mc:AlternateContent xmlns:mc="http://schemas.openxmlformats.org/markup-compatibility/2006">
      <mc:Choice Requires="x14">
        <control shapeId="2744325" r:id="rId47" name="CurrentSelection">
          <controlPr defaultSize="0" autoLine="0" autoPict="0" r:id="rId48">
            <anchor moveWithCells="1" sizeWithCells="1">
              <from>
                <xdr:col>1</xdr:col>
                <xdr:colOff>1885950</xdr:colOff>
                <xdr:row>67</xdr:row>
                <xdr:rowOff>50800</xdr:rowOff>
              </from>
              <to>
                <xdr:col>1</xdr:col>
                <xdr:colOff>4324350</xdr:colOff>
                <xdr:row>67</xdr:row>
                <xdr:rowOff>336550</xdr:rowOff>
              </to>
            </anchor>
          </controlPr>
        </control>
      </mc:Choice>
      <mc:Fallback>
        <control shapeId="2744325" r:id="rId47" name="CurrentSelection"/>
      </mc:Fallback>
    </mc:AlternateContent>
    <mc:AlternateContent xmlns:mc="http://schemas.openxmlformats.org/markup-compatibility/2006">
      <mc:Choice Requires="x14">
        <control shapeId="2744324" r:id="rId49" name="Loop4">
          <controlPr defaultSize="0" autoLine="0" r:id="rId50">
            <anchor moveWithCells="1" sizeWithCells="1">
              <from>
                <xdr:col>14</xdr:col>
                <xdr:colOff>31750</xdr:colOff>
                <xdr:row>80</xdr:row>
                <xdr:rowOff>57150</xdr:rowOff>
              </from>
              <to>
                <xdr:col>15</xdr:col>
                <xdr:colOff>431800</xdr:colOff>
                <xdr:row>80</xdr:row>
                <xdr:rowOff>342900</xdr:rowOff>
              </to>
            </anchor>
          </controlPr>
        </control>
      </mc:Choice>
      <mc:Fallback>
        <control shapeId="2744324" r:id="rId49" name="Loop4"/>
      </mc:Fallback>
    </mc:AlternateContent>
    <mc:AlternateContent xmlns:mc="http://schemas.openxmlformats.org/markup-compatibility/2006">
      <mc:Choice Requires="x14">
        <control shapeId="2744323" r:id="rId51" name="Loop3">
          <controlPr defaultSize="0" autoLine="0" r:id="rId52">
            <anchor moveWithCells="1" sizeWithCells="1">
              <from>
                <xdr:col>10</xdr:col>
                <xdr:colOff>38100</xdr:colOff>
                <xdr:row>80</xdr:row>
                <xdr:rowOff>57150</xdr:rowOff>
              </from>
              <to>
                <xdr:col>11</xdr:col>
                <xdr:colOff>438150</xdr:colOff>
                <xdr:row>80</xdr:row>
                <xdr:rowOff>342900</xdr:rowOff>
              </to>
            </anchor>
          </controlPr>
        </control>
      </mc:Choice>
      <mc:Fallback>
        <control shapeId="2744323" r:id="rId51" name="Loop3"/>
      </mc:Fallback>
    </mc:AlternateContent>
    <mc:AlternateContent xmlns:mc="http://schemas.openxmlformats.org/markup-compatibility/2006">
      <mc:Choice Requires="x14">
        <control shapeId="2744322" r:id="rId53" name="Loop2">
          <controlPr defaultSize="0" autoLine="0" r:id="rId54">
            <anchor moveWithCells="1" sizeWithCells="1">
              <from>
                <xdr:col>6</xdr:col>
                <xdr:colOff>19050</xdr:colOff>
                <xdr:row>80</xdr:row>
                <xdr:rowOff>50800</xdr:rowOff>
              </from>
              <to>
                <xdr:col>7</xdr:col>
                <xdr:colOff>419100</xdr:colOff>
                <xdr:row>80</xdr:row>
                <xdr:rowOff>336550</xdr:rowOff>
              </to>
            </anchor>
          </controlPr>
        </control>
      </mc:Choice>
      <mc:Fallback>
        <control shapeId="2744322" r:id="rId53" name="Loop2"/>
      </mc:Fallback>
    </mc:AlternateContent>
    <mc:AlternateContent xmlns:mc="http://schemas.openxmlformats.org/markup-compatibility/2006">
      <mc:Choice Requires="x14">
        <control shapeId="2744321" r:id="rId55" name="ChangeLoopExtensionState">
          <controlPr defaultSize="0" autoLine="0" r:id="rId56">
            <anchor moveWithCells="1" sizeWithCells="1">
              <from>
                <xdr:col>1</xdr:col>
                <xdr:colOff>1885950</xdr:colOff>
                <xdr:row>72</xdr:row>
                <xdr:rowOff>50800</xdr:rowOff>
              </from>
              <to>
                <xdr:col>1</xdr:col>
                <xdr:colOff>4324350</xdr:colOff>
                <xdr:row>72</xdr:row>
                <xdr:rowOff>336550</xdr:rowOff>
              </to>
            </anchor>
          </controlPr>
        </control>
      </mc:Choice>
      <mc:Fallback>
        <control shapeId="2744321" r:id="rId55" name="ChangeLoopExtensionState"/>
      </mc:Fallback>
    </mc:AlternateContent>
  </control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0">
    <pageSetUpPr autoPageBreaks="0" fitToPage="1"/>
  </sheetPr>
  <dimension ref="A1:M106"/>
  <sheetViews>
    <sheetView zoomScale="85" zoomScaleNormal="85" zoomScaleSheetLayoutView="75" workbookViewId="0">
      <pane xSplit="1" ySplit="9" topLeftCell="B10" activePane="bottomRight" state="frozen"/>
      <selection pane="topRight" activeCell="B1" sqref="B1"/>
      <selection pane="bottomLeft" activeCell="A10" sqref="A10"/>
      <selection pane="bottomRight" activeCell="C2" sqref="C2"/>
    </sheetView>
  </sheetViews>
  <sheetFormatPr defaultColWidth="11.453125" defaultRowHeight="12.5" x14ac:dyDescent="0.25"/>
  <cols>
    <col min="1" max="1" width="20.54296875" customWidth="1"/>
    <col min="2" max="3" width="15.54296875" customWidth="1"/>
    <col min="4" max="4" width="19.81640625" customWidth="1"/>
    <col min="5" max="5" width="18.1796875" customWidth="1"/>
    <col min="6" max="12" width="15.54296875" customWidth="1"/>
    <col min="13" max="13" width="10.54296875" style="8" customWidth="1"/>
  </cols>
  <sheetData>
    <row r="1" spans="1:13" x14ac:dyDescent="0.25">
      <c r="A1" s="7" t="s">
        <v>11</v>
      </c>
      <c r="B1" s="4" t="s">
        <v>7</v>
      </c>
      <c r="C1" s="1"/>
      <c r="D1" s="1"/>
      <c r="E1" s="1"/>
      <c r="F1" s="1"/>
      <c r="G1" s="1"/>
      <c r="H1" s="1"/>
      <c r="I1" s="1"/>
      <c r="J1" s="1"/>
      <c r="K1" s="1"/>
      <c r="L1" s="1"/>
      <c r="M1" s="17" t="s">
        <v>22</v>
      </c>
    </row>
    <row r="2" spans="1:13" x14ac:dyDescent="0.25">
      <c r="A2" s="2" t="s">
        <v>6</v>
      </c>
      <c r="B2" s="6">
        <v>1</v>
      </c>
      <c r="C2" s="5">
        <v>2</v>
      </c>
      <c r="D2" s="5">
        <v>3</v>
      </c>
      <c r="E2" s="5">
        <v>4</v>
      </c>
      <c r="F2" s="5">
        <v>5</v>
      </c>
      <c r="G2" s="5">
        <v>6</v>
      </c>
      <c r="H2" s="5">
        <v>7</v>
      </c>
      <c r="I2" s="5">
        <v>8</v>
      </c>
      <c r="J2" s="5">
        <v>9</v>
      </c>
      <c r="K2" s="5">
        <v>10</v>
      </c>
      <c r="L2" s="5">
        <v>11</v>
      </c>
      <c r="M2" s="17"/>
    </row>
    <row r="3" spans="1:13" x14ac:dyDescent="0.25">
      <c r="A3" s="2">
        <v>1</v>
      </c>
      <c r="B3" s="38" t="s">
        <v>402</v>
      </c>
      <c r="C3" s="37" t="s">
        <v>404</v>
      </c>
      <c r="D3" s="37" t="s">
        <v>403</v>
      </c>
      <c r="E3" s="37" t="s">
        <v>405</v>
      </c>
      <c r="F3" s="3" t="s">
        <v>5</v>
      </c>
      <c r="G3" s="3" t="s">
        <v>5</v>
      </c>
      <c r="H3" s="3" t="s">
        <v>5</v>
      </c>
      <c r="I3" s="3" t="s">
        <v>5</v>
      </c>
      <c r="J3" s="3" t="s">
        <v>5</v>
      </c>
      <c r="K3" s="3" t="s">
        <v>5</v>
      </c>
      <c r="L3" s="3" t="s">
        <v>5</v>
      </c>
      <c r="M3" s="17">
        <v>4</v>
      </c>
    </row>
    <row r="4" spans="1:13" x14ac:dyDescent="0.25">
      <c r="A4" s="2">
        <v>2</v>
      </c>
      <c r="B4" s="38" t="s">
        <v>406</v>
      </c>
      <c r="C4" s="37" t="s">
        <v>407</v>
      </c>
      <c r="D4" s="3" t="s">
        <v>5</v>
      </c>
      <c r="E4" s="3" t="s">
        <v>5</v>
      </c>
      <c r="F4" s="3" t="s">
        <v>5</v>
      </c>
      <c r="G4" s="3" t="s">
        <v>5</v>
      </c>
      <c r="H4" s="3" t="s">
        <v>5</v>
      </c>
      <c r="I4" s="3" t="s">
        <v>5</v>
      </c>
      <c r="J4" s="3" t="s">
        <v>5</v>
      </c>
      <c r="K4" s="3" t="s">
        <v>5</v>
      </c>
      <c r="L4" s="3" t="s">
        <v>5</v>
      </c>
      <c r="M4" s="17">
        <v>4</v>
      </c>
    </row>
    <row r="5" spans="1:13" x14ac:dyDescent="0.25">
      <c r="A5" s="2">
        <v>3</v>
      </c>
      <c r="B5" s="4" t="s">
        <v>26</v>
      </c>
      <c r="C5" s="1" t="s">
        <v>27</v>
      </c>
      <c r="D5" s="1" t="s">
        <v>28</v>
      </c>
      <c r="E5" s="3" t="s">
        <v>5</v>
      </c>
      <c r="F5" s="3" t="s">
        <v>5</v>
      </c>
      <c r="G5" s="3" t="s">
        <v>5</v>
      </c>
      <c r="H5" s="3" t="s">
        <v>5</v>
      </c>
      <c r="I5" s="3" t="s">
        <v>5</v>
      </c>
      <c r="J5" s="3" t="s">
        <v>5</v>
      </c>
      <c r="K5" s="3" t="s">
        <v>5</v>
      </c>
      <c r="L5" s="3" t="s">
        <v>5</v>
      </c>
      <c r="M5" s="17">
        <v>3</v>
      </c>
    </row>
    <row r="6" spans="1:13" x14ac:dyDescent="0.25">
      <c r="A6" s="2">
        <v>4</v>
      </c>
      <c r="B6" s="4" t="s">
        <v>362</v>
      </c>
      <c r="C6" s="3" t="s">
        <v>5</v>
      </c>
      <c r="D6" s="3" t="s">
        <v>5</v>
      </c>
      <c r="E6" s="3" t="s">
        <v>5</v>
      </c>
      <c r="F6" s="3" t="s">
        <v>5</v>
      </c>
      <c r="G6" s="3" t="s">
        <v>5</v>
      </c>
      <c r="H6" s="3" t="s">
        <v>5</v>
      </c>
      <c r="I6" s="3" t="s">
        <v>5</v>
      </c>
      <c r="J6" s="3" t="s">
        <v>5</v>
      </c>
      <c r="K6" s="3" t="s">
        <v>5</v>
      </c>
      <c r="L6" s="3" t="s">
        <v>5</v>
      </c>
      <c r="M6" s="17">
        <v>1</v>
      </c>
    </row>
    <row r="7" spans="1:13" x14ac:dyDescent="0.25">
      <c r="A7" s="2">
        <v>5</v>
      </c>
      <c r="B7" s="4" t="s">
        <v>29</v>
      </c>
      <c r="C7" s="1" t="s">
        <v>30</v>
      </c>
      <c r="D7" s="3" t="s">
        <v>5</v>
      </c>
      <c r="E7" s="3" t="s">
        <v>5</v>
      </c>
      <c r="F7" s="3" t="s">
        <v>5</v>
      </c>
      <c r="G7" s="3" t="s">
        <v>5</v>
      </c>
      <c r="H7" s="3" t="s">
        <v>5</v>
      </c>
      <c r="I7" s="3" t="s">
        <v>5</v>
      </c>
      <c r="J7" s="3" t="s">
        <v>5</v>
      </c>
      <c r="K7" s="3" t="s">
        <v>5</v>
      </c>
      <c r="L7" s="3" t="s">
        <v>5</v>
      </c>
      <c r="M7" s="17">
        <v>2</v>
      </c>
    </row>
    <row r="8" spans="1:13" x14ac:dyDescent="0.25">
      <c r="A8" s="2">
        <v>6</v>
      </c>
      <c r="B8" s="3" t="s">
        <v>5</v>
      </c>
      <c r="C8" s="3" t="s">
        <v>5</v>
      </c>
      <c r="D8" s="3" t="s">
        <v>5</v>
      </c>
      <c r="E8" s="3" t="s">
        <v>5</v>
      </c>
      <c r="F8" s="3" t="s">
        <v>5</v>
      </c>
      <c r="G8" s="3" t="s">
        <v>5</v>
      </c>
      <c r="H8" s="3" t="s">
        <v>5</v>
      </c>
      <c r="I8" s="3" t="s">
        <v>5</v>
      </c>
      <c r="J8" s="3" t="s">
        <v>5</v>
      </c>
      <c r="K8" s="3" t="s">
        <v>5</v>
      </c>
      <c r="L8" s="3" t="s">
        <v>5</v>
      </c>
      <c r="M8" s="17">
        <v>0</v>
      </c>
    </row>
    <row r="11" spans="1:13" x14ac:dyDescent="0.25">
      <c r="A11" s="7" t="s">
        <v>12</v>
      </c>
      <c r="B11" s="13" t="str">
        <f>B$1</f>
        <v>Variants</v>
      </c>
      <c r="C11" s="14"/>
      <c r="D11" s="14"/>
      <c r="E11" s="14"/>
      <c r="F11" s="14"/>
      <c r="G11" s="14"/>
      <c r="H11" s="14"/>
      <c r="I11" s="14"/>
      <c r="J11" s="14"/>
      <c r="K11" s="14"/>
      <c r="L11" s="14"/>
      <c r="M11" s="18"/>
    </row>
    <row r="12" spans="1:13" x14ac:dyDescent="0.25">
      <c r="A12" s="12" t="str">
        <f t="shared" ref="A12:L12" si="0">A$2</f>
        <v>Types</v>
      </c>
      <c r="B12" s="15">
        <f t="shared" si="0"/>
        <v>1</v>
      </c>
      <c r="C12" s="16">
        <f t="shared" si="0"/>
        <v>2</v>
      </c>
      <c r="D12" s="16">
        <f t="shared" si="0"/>
        <v>3</v>
      </c>
      <c r="E12" s="16">
        <f t="shared" si="0"/>
        <v>4</v>
      </c>
      <c r="F12" s="16">
        <f t="shared" si="0"/>
        <v>5</v>
      </c>
      <c r="G12" s="16">
        <f t="shared" si="0"/>
        <v>6</v>
      </c>
      <c r="H12" s="16">
        <f t="shared" si="0"/>
        <v>7</v>
      </c>
      <c r="I12" s="16">
        <f t="shared" si="0"/>
        <v>8</v>
      </c>
      <c r="J12" s="16">
        <f t="shared" si="0"/>
        <v>9</v>
      </c>
      <c r="K12" s="16">
        <f t="shared" si="0"/>
        <v>10</v>
      </c>
      <c r="L12" s="16">
        <f t="shared" si="0"/>
        <v>11</v>
      </c>
      <c r="M12" s="18"/>
    </row>
    <row r="13" spans="1:13" x14ac:dyDescent="0.25">
      <c r="A13" s="12">
        <f>A$3</f>
        <v>1</v>
      </c>
      <c r="B13" s="38" t="s">
        <v>408</v>
      </c>
      <c r="C13" s="38" t="s">
        <v>409</v>
      </c>
      <c r="D13" s="38" t="s">
        <v>410</v>
      </c>
      <c r="E13" s="38" t="s">
        <v>411</v>
      </c>
      <c r="F13" s="3" t="s">
        <v>5</v>
      </c>
      <c r="G13" s="3" t="s">
        <v>5</v>
      </c>
      <c r="H13" s="3" t="s">
        <v>5</v>
      </c>
      <c r="I13" s="3" t="s">
        <v>5</v>
      </c>
      <c r="J13" s="3" t="s">
        <v>5</v>
      </c>
      <c r="K13" s="3" t="s">
        <v>5</v>
      </c>
      <c r="L13" s="3" t="s">
        <v>5</v>
      </c>
      <c r="M13" s="18"/>
    </row>
    <row r="14" spans="1:13" x14ac:dyDescent="0.25">
      <c r="A14" s="12">
        <f>A$4</f>
        <v>2</v>
      </c>
      <c r="B14" s="38" t="s">
        <v>408</v>
      </c>
      <c r="C14" s="38" t="s">
        <v>409</v>
      </c>
      <c r="D14" s="38" t="s">
        <v>410</v>
      </c>
      <c r="E14" s="38" t="s">
        <v>411</v>
      </c>
      <c r="F14" s="3" t="s">
        <v>5</v>
      </c>
      <c r="G14" s="3" t="s">
        <v>5</v>
      </c>
      <c r="H14" s="3" t="s">
        <v>5</v>
      </c>
      <c r="I14" s="3" t="s">
        <v>5</v>
      </c>
      <c r="J14" s="3" t="s">
        <v>5</v>
      </c>
      <c r="K14" s="3" t="s">
        <v>5</v>
      </c>
      <c r="L14" s="3" t="s">
        <v>5</v>
      </c>
      <c r="M14" s="18"/>
    </row>
    <row r="15" spans="1:13" x14ac:dyDescent="0.25">
      <c r="A15" s="12">
        <f>A$5</f>
        <v>3</v>
      </c>
      <c r="B15" s="4" t="s">
        <v>365</v>
      </c>
      <c r="C15" s="1" t="s">
        <v>366</v>
      </c>
      <c r="D15" s="1" t="s">
        <v>367</v>
      </c>
      <c r="E15" s="3" t="s">
        <v>5</v>
      </c>
      <c r="F15" s="3" t="s">
        <v>5</v>
      </c>
      <c r="G15" s="3" t="s">
        <v>5</v>
      </c>
      <c r="H15" s="3" t="s">
        <v>5</v>
      </c>
      <c r="I15" s="3" t="s">
        <v>5</v>
      </c>
      <c r="J15" s="3" t="s">
        <v>5</v>
      </c>
      <c r="K15" s="3" t="s">
        <v>5</v>
      </c>
      <c r="L15" s="3" t="s">
        <v>5</v>
      </c>
      <c r="M15" s="18"/>
    </row>
    <row r="16" spans="1:13" x14ac:dyDescent="0.25">
      <c r="A16" s="12">
        <f>A$6</f>
        <v>4</v>
      </c>
      <c r="B16" s="4" t="s">
        <v>363</v>
      </c>
      <c r="C16" s="3" t="s">
        <v>5</v>
      </c>
      <c r="D16" s="3" t="s">
        <v>5</v>
      </c>
      <c r="E16" s="3" t="s">
        <v>5</v>
      </c>
      <c r="F16" s="3" t="s">
        <v>5</v>
      </c>
      <c r="G16" s="3" t="s">
        <v>5</v>
      </c>
      <c r="H16" s="3" t="s">
        <v>5</v>
      </c>
      <c r="I16" s="3" t="s">
        <v>5</v>
      </c>
      <c r="J16" s="3" t="s">
        <v>5</v>
      </c>
      <c r="K16" s="3" t="s">
        <v>5</v>
      </c>
      <c r="L16" s="3" t="s">
        <v>5</v>
      </c>
      <c r="M16" s="18"/>
    </row>
    <row r="17" spans="1:13" x14ac:dyDescent="0.25">
      <c r="A17" s="12">
        <f>A$7</f>
        <v>5</v>
      </c>
      <c r="B17" s="4" t="s">
        <v>368</v>
      </c>
      <c r="C17" s="1" t="s">
        <v>369</v>
      </c>
      <c r="D17" s="3" t="s">
        <v>5</v>
      </c>
      <c r="E17" s="3" t="s">
        <v>5</v>
      </c>
      <c r="F17" s="3" t="s">
        <v>5</v>
      </c>
      <c r="G17" s="3" t="s">
        <v>5</v>
      </c>
      <c r="H17" s="3" t="s">
        <v>5</v>
      </c>
      <c r="I17" s="3" t="s">
        <v>5</v>
      </c>
      <c r="J17" s="3" t="s">
        <v>5</v>
      </c>
      <c r="K17" s="3" t="s">
        <v>5</v>
      </c>
      <c r="L17" s="3" t="s">
        <v>5</v>
      </c>
      <c r="M17" s="18"/>
    </row>
    <row r="18" spans="1:13" x14ac:dyDescent="0.25">
      <c r="A18" s="12">
        <f>A$8</f>
        <v>6</v>
      </c>
      <c r="B18" s="3" t="s">
        <v>5</v>
      </c>
      <c r="C18" s="3" t="s">
        <v>5</v>
      </c>
      <c r="D18" s="3" t="s">
        <v>5</v>
      </c>
      <c r="E18" s="3" t="s">
        <v>5</v>
      </c>
      <c r="F18" s="3" t="s">
        <v>5</v>
      </c>
      <c r="G18" s="3" t="s">
        <v>5</v>
      </c>
      <c r="H18" s="3" t="s">
        <v>5</v>
      </c>
      <c r="I18" s="3" t="s">
        <v>5</v>
      </c>
      <c r="J18" s="3" t="s">
        <v>5</v>
      </c>
      <c r="K18" s="3" t="s">
        <v>5</v>
      </c>
      <c r="L18" s="3" t="s">
        <v>5</v>
      </c>
      <c r="M18" s="18"/>
    </row>
    <row r="19" spans="1:13" x14ac:dyDescent="0.25">
      <c r="M19" s="19"/>
    </row>
    <row r="20" spans="1:13" x14ac:dyDescent="0.25">
      <c r="A20" s="7" t="s">
        <v>13</v>
      </c>
      <c r="B20" s="13" t="str">
        <f>B$1</f>
        <v>Variants</v>
      </c>
      <c r="C20" s="14"/>
      <c r="D20" s="14"/>
      <c r="E20" s="14"/>
      <c r="F20" s="14"/>
      <c r="G20" s="14"/>
      <c r="H20" s="14"/>
      <c r="I20" s="14"/>
      <c r="J20" s="14"/>
      <c r="K20" s="14"/>
      <c r="L20" s="14"/>
      <c r="M20" s="18"/>
    </row>
    <row r="21" spans="1:13" x14ac:dyDescent="0.25">
      <c r="A21" s="12" t="str">
        <f t="shared" ref="A21:L21" si="1">A$2</f>
        <v>Types</v>
      </c>
      <c r="B21" s="15">
        <f t="shared" si="1"/>
        <v>1</v>
      </c>
      <c r="C21" s="16">
        <f t="shared" si="1"/>
        <v>2</v>
      </c>
      <c r="D21" s="16">
        <f t="shared" si="1"/>
        <v>3</v>
      </c>
      <c r="E21" s="16">
        <f t="shared" si="1"/>
        <v>4</v>
      </c>
      <c r="F21" s="16">
        <f t="shared" si="1"/>
        <v>5</v>
      </c>
      <c r="G21" s="16">
        <f t="shared" si="1"/>
        <v>6</v>
      </c>
      <c r="H21" s="16">
        <f t="shared" si="1"/>
        <v>7</v>
      </c>
      <c r="I21" s="16">
        <f t="shared" si="1"/>
        <v>8</v>
      </c>
      <c r="J21" s="16">
        <f t="shared" si="1"/>
        <v>9</v>
      </c>
      <c r="K21" s="16">
        <f t="shared" si="1"/>
        <v>10</v>
      </c>
      <c r="L21" s="16">
        <f t="shared" si="1"/>
        <v>11</v>
      </c>
      <c r="M21" s="18"/>
    </row>
    <row r="22" spans="1:13" x14ac:dyDescent="0.25">
      <c r="A22" s="12">
        <f>A$3</f>
        <v>1</v>
      </c>
      <c r="B22" s="38" t="s">
        <v>4</v>
      </c>
      <c r="C22" s="1" t="s">
        <v>4</v>
      </c>
      <c r="D22" s="37" t="s">
        <v>412</v>
      </c>
      <c r="E22" s="37" t="s">
        <v>412</v>
      </c>
      <c r="F22" s="3" t="s">
        <v>5</v>
      </c>
      <c r="G22" s="3" t="s">
        <v>5</v>
      </c>
      <c r="H22" s="3" t="s">
        <v>5</v>
      </c>
      <c r="I22" s="3" t="s">
        <v>5</v>
      </c>
      <c r="J22" s="3" t="s">
        <v>5</v>
      </c>
      <c r="K22" s="3" t="s">
        <v>5</v>
      </c>
      <c r="L22" s="3" t="s">
        <v>5</v>
      </c>
      <c r="M22" s="18"/>
    </row>
    <row r="23" spans="1:13" x14ac:dyDescent="0.25">
      <c r="A23" s="12">
        <f>A$4</f>
        <v>2</v>
      </c>
      <c r="B23" s="4" t="s">
        <v>4</v>
      </c>
      <c r="C23" s="1" t="s">
        <v>4</v>
      </c>
      <c r="D23" s="37" t="s">
        <v>413</v>
      </c>
      <c r="E23" s="37" t="s">
        <v>413</v>
      </c>
      <c r="F23" s="1" t="s">
        <v>23</v>
      </c>
      <c r="G23" s="3" t="s">
        <v>5</v>
      </c>
      <c r="H23" s="3" t="s">
        <v>5</v>
      </c>
      <c r="I23" s="3" t="s">
        <v>5</v>
      </c>
      <c r="J23" s="3" t="s">
        <v>5</v>
      </c>
      <c r="K23" s="3" t="s">
        <v>5</v>
      </c>
      <c r="L23" s="3" t="s">
        <v>5</v>
      </c>
      <c r="M23" s="18"/>
    </row>
    <row r="24" spans="1:13" x14ac:dyDescent="0.25">
      <c r="A24" s="12">
        <f>A$5</f>
        <v>3</v>
      </c>
      <c r="B24" s="4" t="s">
        <v>4</v>
      </c>
      <c r="C24" s="1" t="s">
        <v>10</v>
      </c>
      <c r="D24" s="1" t="s">
        <v>23</v>
      </c>
      <c r="E24" s="3" t="s">
        <v>5</v>
      </c>
      <c r="F24" s="3" t="s">
        <v>5</v>
      </c>
      <c r="G24" s="3" t="s">
        <v>5</v>
      </c>
      <c r="H24" s="3" t="s">
        <v>5</v>
      </c>
      <c r="I24" s="3" t="s">
        <v>5</v>
      </c>
      <c r="J24" s="3" t="s">
        <v>5</v>
      </c>
      <c r="K24" s="3" t="s">
        <v>5</v>
      </c>
      <c r="L24" s="3" t="s">
        <v>5</v>
      </c>
      <c r="M24" s="18"/>
    </row>
    <row r="25" spans="1:13" x14ac:dyDescent="0.25">
      <c r="A25" s="12">
        <f>A$6</f>
        <v>4</v>
      </c>
      <c r="B25" s="4" t="s">
        <v>4</v>
      </c>
      <c r="C25" s="1"/>
      <c r="D25" s="3" t="s">
        <v>5</v>
      </c>
      <c r="E25" s="3" t="s">
        <v>5</v>
      </c>
      <c r="F25" s="3" t="s">
        <v>5</v>
      </c>
      <c r="G25" s="3" t="s">
        <v>5</v>
      </c>
      <c r="H25" s="3" t="s">
        <v>5</v>
      </c>
      <c r="I25" s="3" t="s">
        <v>5</v>
      </c>
      <c r="J25" s="3" t="s">
        <v>5</v>
      </c>
      <c r="K25" s="3" t="s">
        <v>5</v>
      </c>
      <c r="L25" s="3" t="s">
        <v>5</v>
      </c>
      <c r="M25" s="18"/>
    </row>
    <row r="26" spans="1:13" x14ac:dyDescent="0.25">
      <c r="A26" s="12">
        <f>A$7</f>
        <v>5</v>
      </c>
      <c r="B26" s="4" t="s">
        <v>4</v>
      </c>
      <c r="C26" s="1" t="s">
        <v>23</v>
      </c>
      <c r="D26" s="3" t="s">
        <v>5</v>
      </c>
      <c r="E26" s="3" t="s">
        <v>5</v>
      </c>
      <c r="F26" s="3" t="s">
        <v>5</v>
      </c>
      <c r="G26" s="3" t="s">
        <v>5</v>
      </c>
      <c r="H26" s="3" t="s">
        <v>5</v>
      </c>
      <c r="I26" s="3" t="s">
        <v>5</v>
      </c>
      <c r="J26" s="3" t="s">
        <v>5</v>
      </c>
      <c r="K26" s="3" t="s">
        <v>5</v>
      </c>
      <c r="L26" s="3" t="s">
        <v>5</v>
      </c>
      <c r="M26" s="18"/>
    </row>
    <row r="27" spans="1:13" x14ac:dyDescent="0.25">
      <c r="A27" s="12">
        <f>A$8</f>
        <v>6</v>
      </c>
      <c r="B27" s="3" t="s">
        <v>5</v>
      </c>
      <c r="C27" s="3" t="s">
        <v>5</v>
      </c>
      <c r="D27" s="3" t="s">
        <v>5</v>
      </c>
      <c r="E27" s="3" t="s">
        <v>5</v>
      </c>
      <c r="F27" s="3" t="s">
        <v>5</v>
      </c>
      <c r="G27" s="3" t="s">
        <v>5</v>
      </c>
      <c r="H27" s="3" t="s">
        <v>5</v>
      </c>
      <c r="I27" s="3" t="s">
        <v>5</v>
      </c>
      <c r="J27" s="3" t="s">
        <v>5</v>
      </c>
      <c r="K27" s="3" t="s">
        <v>5</v>
      </c>
      <c r="L27" s="3" t="s">
        <v>5</v>
      </c>
      <c r="M27" s="18"/>
    </row>
    <row r="28" spans="1:13" x14ac:dyDescent="0.25">
      <c r="M28" s="19"/>
    </row>
    <row r="29" spans="1:13" x14ac:dyDescent="0.25">
      <c r="A29" s="7" t="s">
        <v>16</v>
      </c>
      <c r="B29" s="13" t="str">
        <f>B$1</f>
        <v>Variants</v>
      </c>
      <c r="C29" s="14"/>
      <c r="D29" s="14"/>
      <c r="E29" s="14"/>
      <c r="F29" s="14"/>
      <c r="G29" s="14"/>
      <c r="H29" s="14"/>
      <c r="I29" s="14"/>
      <c r="J29" s="14"/>
      <c r="K29" s="14"/>
      <c r="L29" s="14"/>
      <c r="M29" s="18"/>
    </row>
    <row r="30" spans="1:13" x14ac:dyDescent="0.25">
      <c r="A30" s="12" t="str">
        <f t="shared" ref="A30:L30" si="2">A$2</f>
        <v>Types</v>
      </c>
      <c r="B30" s="15">
        <f t="shared" si="2"/>
        <v>1</v>
      </c>
      <c r="C30" s="16">
        <f t="shared" si="2"/>
        <v>2</v>
      </c>
      <c r="D30" s="16">
        <f t="shared" si="2"/>
        <v>3</v>
      </c>
      <c r="E30" s="16">
        <f t="shared" si="2"/>
        <v>4</v>
      </c>
      <c r="F30" s="16">
        <f t="shared" si="2"/>
        <v>5</v>
      </c>
      <c r="G30" s="16">
        <f t="shared" si="2"/>
        <v>6</v>
      </c>
      <c r="H30" s="16">
        <f t="shared" si="2"/>
        <v>7</v>
      </c>
      <c r="I30" s="16">
        <f t="shared" si="2"/>
        <v>8</v>
      </c>
      <c r="J30" s="16">
        <f t="shared" si="2"/>
        <v>9</v>
      </c>
      <c r="K30" s="16">
        <f t="shared" si="2"/>
        <v>10</v>
      </c>
      <c r="L30" s="16">
        <f t="shared" si="2"/>
        <v>11</v>
      </c>
      <c r="M30" s="18"/>
    </row>
    <row r="31" spans="1:13" x14ac:dyDescent="0.25">
      <c r="A31" s="12">
        <f>A$3</f>
        <v>1</v>
      </c>
      <c r="B31" s="4">
        <v>0</v>
      </c>
      <c r="C31" s="1">
        <v>0</v>
      </c>
      <c r="D31" s="1">
        <v>0</v>
      </c>
      <c r="E31" s="3">
        <v>0</v>
      </c>
      <c r="F31" s="3">
        <v>0</v>
      </c>
      <c r="G31" s="3">
        <v>0</v>
      </c>
      <c r="H31" s="3">
        <v>0</v>
      </c>
      <c r="I31" s="3">
        <v>0</v>
      </c>
      <c r="J31" s="3">
        <v>0</v>
      </c>
      <c r="K31" s="1">
        <v>0</v>
      </c>
      <c r="L31" s="3">
        <v>0</v>
      </c>
      <c r="M31" s="18"/>
    </row>
    <row r="32" spans="1:13" x14ac:dyDescent="0.25">
      <c r="A32" s="12">
        <f>A$4</f>
        <v>2</v>
      </c>
      <c r="B32" s="4">
        <v>0</v>
      </c>
      <c r="C32" s="1">
        <v>0</v>
      </c>
      <c r="D32" s="3">
        <v>0</v>
      </c>
      <c r="E32" s="3">
        <v>2</v>
      </c>
      <c r="F32" s="3">
        <v>0</v>
      </c>
      <c r="G32" s="3">
        <v>0</v>
      </c>
      <c r="H32" s="3">
        <v>0</v>
      </c>
      <c r="I32" s="3">
        <v>0</v>
      </c>
      <c r="J32" s="3">
        <v>0</v>
      </c>
      <c r="K32" s="3">
        <v>0</v>
      </c>
      <c r="L32" s="3">
        <v>0</v>
      </c>
      <c r="M32" s="18"/>
    </row>
    <row r="33" spans="1:13" x14ac:dyDescent="0.25">
      <c r="A33" s="12">
        <f>A$5</f>
        <v>3</v>
      </c>
      <c r="B33" s="4">
        <v>0</v>
      </c>
      <c r="C33" s="1">
        <v>2</v>
      </c>
      <c r="D33" s="3">
        <v>0</v>
      </c>
      <c r="E33" s="3">
        <v>0</v>
      </c>
      <c r="F33" s="3">
        <v>0</v>
      </c>
      <c r="G33" s="3">
        <v>0</v>
      </c>
      <c r="H33" s="3">
        <v>0</v>
      </c>
      <c r="I33" s="3">
        <v>0</v>
      </c>
      <c r="J33" s="3">
        <v>0</v>
      </c>
      <c r="K33" s="3">
        <v>0</v>
      </c>
      <c r="L33" s="3">
        <v>0</v>
      </c>
      <c r="M33" s="18"/>
    </row>
    <row r="34" spans="1:13" x14ac:dyDescent="0.25">
      <c r="A34" s="12">
        <f>A$6</f>
        <v>4</v>
      </c>
      <c r="B34" s="4">
        <v>0</v>
      </c>
      <c r="C34" s="1">
        <v>0</v>
      </c>
      <c r="D34" s="3">
        <v>0</v>
      </c>
      <c r="E34" s="3">
        <v>0</v>
      </c>
      <c r="F34" s="3">
        <v>0</v>
      </c>
      <c r="G34" s="3">
        <v>0</v>
      </c>
      <c r="H34" s="3">
        <v>0</v>
      </c>
      <c r="I34" s="3">
        <v>0</v>
      </c>
      <c r="J34" s="3">
        <v>0</v>
      </c>
      <c r="K34" s="3">
        <v>0</v>
      </c>
      <c r="L34" s="3">
        <v>0</v>
      </c>
      <c r="M34" s="18"/>
    </row>
    <row r="35" spans="1:13" x14ac:dyDescent="0.25">
      <c r="A35" s="12">
        <f>A$7</f>
        <v>5</v>
      </c>
      <c r="B35" s="3">
        <v>0</v>
      </c>
      <c r="C35" s="1">
        <v>0</v>
      </c>
      <c r="D35" s="3">
        <v>0</v>
      </c>
      <c r="E35" s="3">
        <v>0</v>
      </c>
      <c r="F35" s="3">
        <v>0</v>
      </c>
      <c r="G35" s="3">
        <v>0</v>
      </c>
      <c r="H35" s="3">
        <v>0</v>
      </c>
      <c r="I35" s="3">
        <v>0</v>
      </c>
      <c r="J35" s="3">
        <v>0</v>
      </c>
      <c r="K35" s="3">
        <v>0</v>
      </c>
      <c r="L35" s="3">
        <v>0</v>
      </c>
      <c r="M35" s="18"/>
    </row>
    <row r="36" spans="1:13" x14ac:dyDescent="0.25">
      <c r="A36" s="12">
        <f>A$8</f>
        <v>6</v>
      </c>
      <c r="B36" s="4">
        <v>0</v>
      </c>
      <c r="C36" s="1">
        <v>0</v>
      </c>
      <c r="D36" s="3">
        <v>0</v>
      </c>
      <c r="E36" s="3">
        <v>0</v>
      </c>
      <c r="F36" s="3">
        <v>0</v>
      </c>
      <c r="G36" s="3">
        <v>0</v>
      </c>
      <c r="H36" s="3">
        <v>0</v>
      </c>
      <c r="I36" s="3">
        <v>0</v>
      </c>
      <c r="J36" s="3">
        <v>0</v>
      </c>
      <c r="K36" s="3">
        <v>0</v>
      </c>
      <c r="L36" s="3">
        <v>0</v>
      </c>
      <c r="M36" s="18"/>
    </row>
    <row r="37" spans="1:13" x14ac:dyDescent="0.25">
      <c r="M37" s="19"/>
    </row>
    <row r="38" spans="1:13" x14ac:dyDescent="0.25">
      <c r="A38" s="7" t="s">
        <v>24</v>
      </c>
      <c r="B38" s="13" t="str">
        <f>B$1</f>
        <v>Variants</v>
      </c>
      <c r="C38" s="14"/>
      <c r="D38" s="14"/>
      <c r="E38" s="14"/>
      <c r="F38" s="14"/>
      <c r="G38" s="14"/>
      <c r="H38" s="14"/>
      <c r="I38" s="14"/>
      <c r="J38" s="14"/>
      <c r="K38" s="14"/>
      <c r="L38" s="14"/>
      <c r="M38" s="18"/>
    </row>
    <row r="39" spans="1:13" x14ac:dyDescent="0.25">
      <c r="A39" s="12" t="str">
        <f t="shared" ref="A39:L39" si="3">A$2</f>
        <v>Types</v>
      </c>
      <c r="B39" s="15">
        <f t="shared" si="3"/>
        <v>1</v>
      </c>
      <c r="C39" s="16">
        <f t="shared" si="3"/>
        <v>2</v>
      </c>
      <c r="D39" s="16">
        <f t="shared" si="3"/>
        <v>3</v>
      </c>
      <c r="E39" s="16">
        <f t="shared" si="3"/>
        <v>4</v>
      </c>
      <c r="F39" s="16">
        <f t="shared" si="3"/>
        <v>5</v>
      </c>
      <c r="G39" s="16">
        <f t="shared" si="3"/>
        <v>6</v>
      </c>
      <c r="H39" s="16">
        <f t="shared" si="3"/>
        <v>7</v>
      </c>
      <c r="I39" s="16">
        <f t="shared" si="3"/>
        <v>8</v>
      </c>
      <c r="J39" s="16">
        <f t="shared" si="3"/>
        <v>9</v>
      </c>
      <c r="K39" s="16">
        <f t="shared" si="3"/>
        <v>10</v>
      </c>
      <c r="L39" s="16">
        <f t="shared" si="3"/>
        <v>11</v>
      </c>
      <c r="M39" s="18"/>
    </row>
    <row r="40" spans="1:13" x14ac:dyDescent="0.25">
      <c r="A40" s="12">
        <f>A$3</f>
        <v>1</v>
      </c>
      <c r="B40" s="4">
        <v>0</v>
      </c>
      <c r="C40" s="1">
        <v>0</v>
      </c>
      <c r="D40" s="1">
        <v>0</v>
      </c>
      <c r="E40" s="3">
        <v>0</v>
      </c>
      <c r="F40" s="3">
        <v>0</v>
      </c>
      <c r="G40" s="3">
        <v>0</v>
      </c>
      <c r="H40" s="3">
        <v>0</v>
      </c>
      <c r="I40" s="3">
        <v>0</v>
      </c>
      <c r="J40" s="3">
        <v>0</v>
      </c>
      <c r="K40" s="1">
        <v>0</v>
      </c>
      <c r="L40" s="3">
        <v>0</v>
      </c>
      <c r="M40" s="18"/>
    </row>
    <row r="41" spans="1:13" x14ac:dyDescent="0.25">
      <c r="A41" s="12">
        <f>A$4</f>
        <v>2</v>
      </c>
      <c r="B41" s="4">
        <v>0</v>
      </c>
      <c r="C41" s="1">
        <v>0</v>
      </c>
      <c r="D41" s="3">
        <v>0</v>
      </c>
      <c r="E41" s="3">
        <v>0</v>
      </c>
      <c r="F41" s="3">
        <v>0</v>
      </c>
      <c r="G41" s="3">
        <v>0</v>
      </c>
      <c r="H41" s="3">
        <v>0</v>
      </c>
      <c r="I41" s="3">
        <v>0</v>
      </c>
      <c r="J41" s="3">
        <v>0</v>
      </c>
      <c r="K41" s="3">
        <v>0</v>
      </c>
      <c r="L41" s="3">
        <v>0</v>
      </c>
      <c r="M41" s="18"/>
    </row>
    <row r="42" spans="1:13" x14ac:dyDescent="0.25">
      <c r="A42" s="12">
        <f>A$5</f>
        <v>3</v>
      </c>
      <c r="B42" s="4">
        <v>0</v>
      </c>
      <c r="C42" s="1">
        <v>0</v>
      </c>
      <c r="D42" s="3">
        <v>0</v>
      </c>
      <c r="E42" s="3">
        <v>0</v>
      </c>
      <c r="F42" s="3">
        <v>0</v>
      </c>
      <c r="G42" s="3">
        <v>0</v>
      </c>
      <c r="H42" s="3">
        <v>0</v>
      </c>
      <c r="I42" s="3">
        <v>0</v>
      </c>
      <c r="J42" s="3">
        <v>0</v>
      </c>
      <c r="K42" s="3">
        <v>0</v>
      </c>
      <c r="L42" s="3">
        <v>0</v>
      </c>
      <c r="M42" s="18"/>
    </row>
    <row r="43" spans="1:13" x14ac:dyDescent="0.25">
      <c r="A43" s="12">
        <f>A$6</f>
        <v>4</v>
      </c>
      <c r="B43" s="4">
        <v>0</v>
      </c>
      <c r="C43" s="1">
        <v>0</v>
      </c>
      <c r="D43" s="3">
        <v>0</v>
      </c>
      <c r="E43" s="3">
        <v>0</v>
      </c>
      <c r="F43" s="3">
        <v>0</v>
      </c>
      <c r="G43" s="3">
        <v>0</v>
      </c>
      <c r="H43" s="3">
        <v>0</v>
      </c>
      <c r="I43" s="3">
        <v>0</v>
      </c>
      <c r="J43" s="3">
        <v>0</v>
      </c>
      <c r="K43" s="3">
        <v>0</v>
      </c>
      <c r="L43" s="3">
        <v>0</v>
      </c>
      <c r="M43" s="18"/>
    </row>
    <row r="44" spans="1:13" x14ac:dyDescent="0.25">
      <c r="A44" s="12">
        <f>A$7</f>
        <v>5</v>
      </c>
      <c r="B44" s="3">
        <v>0</v>
      </c>
      <c r="C44" s="3">
        <v>0</v>
      </c>
      <c r="D44" s="3">
        <v>0</v>
      </c>
      <c r="E44" s="3">
        <v>0</v>
      </c>
      <c r="F44" s="3">
        <v>0</v>
      </c>
      <c r="G44" s="3">
        <v>0</v>
      </c>
      <c r="H44" s="3">
        <v>0</v>
      </c>
      <c r="I44" s="3">
        <v>0</v>
      </c>
      <c r="J44" s="3">
        <v>0</v>
      </c>
      <c r="K44" s="3">
        <v>0</v>
      </c>
      <c r="L44" s="3">
        <v>0</v>
      </c>
      <c r="M44" s="18"/>
    </row>
    <row r="45" spans="1:13" x14ac:dyDescent="0.25">
      <c r="A45" s="12">
        <f>A$8</f>
        <v>6</v>
      </c>
      <c r="B45" s="4">
        <v>0</v>
      </c>
      <c r="C45" s="1">
        <v>0</v>
      </c>
      <c r="D45" s="3">
        <v>0</v>
      </c>
      <c r="E45" s="3">
        <v>0</v>
      </c>
      <c r="F45" s="3">
        <v>0</v>
      </c>
      <c r="G45" s="3">
        <v>0</v>
      </c>
      <c r="H45" s="3">
        <v>0</v>
      </c>
      <c r="I45" s="3">
        <v>0</v>
      </c>
      <c r="J45" s="3">
        <v>0</v>
      </c>
      <c r="K45" s="3">
        <v>0</v>
      </c>
      <c r="L45" s="3">
        <v>0</v>
      </c>
      <c r="M45" s="18"/>
    </row>
    <row r="46" spans="1:13" x14ac:dyDescent="0.25">
      <c r="M46" s="19"/>
    </row>
    <row r="47" spans="1:13" x14ac:dyDescent="0.25">
      <c r="A47" s="7" t="s">
        <v>25</v>
      </c>
      <c r="B47" s="13" t="str">
        <f>B$1</f>
        <v>Variants</v>
      </c>
      <c r="C47" s="14"/>
      <c r="D47" s="14"/>
      <c r="E47" s="14"/>
      <c r="F47" s="14"/>
      <c r="G47" s="14"/>
      <c r="H47" s="14"/>
      <c r="I47" s="14"/>
      <c r="J47" s="14"/>
      <c r="K47" s="14"/>
      <c r="L47" s="14"/>
      <c r="M47" s="18"/>
    </row>
    <row r="48" spans="1:13" x14ac:dyDescent="0.25">
      <c r="A48" s="12" t="str">
        <f t="shared" ref="A48:L48" si="4">A$2</f>
        <v>Types</v>
      </c>
      <c r="B48" s="15">
        <f t="shared" si="4"/>
        <v>1</v>
      </c>
      <c r="C48" s="16">
        <f t="shared" si="4"/>
        <v>2</v>
      </c>
      <c r="D48" s="16">
        <f t="shared" si="4"/>
        <v>3</v>
      </c>
      <c r="E48" s="16">
        <f t="shared" si="4"/>
        <v>4</v>
      </c>
      <c r="F48" s="16">
        <f t="shared" si="4"/>
        <v>5</v>
      </c>
      <c r="G48" s="16">
        <f t="shared" si="4"/>
        <v>6</v>
      </c>
      <c r="H48" s="16">
        <f t="shared" si="4"/>
        <v>7</v>
      </c>
      <c r="I48" s="16">
        <f t="shared" si="4"/>
        <v>8</v>
      </c>
      <c r="J48" s="16">
        <f t="shared" si="4"/>
        <v>9</v>
      </c>
      <c r="K48" s="16">
        <f t="shared" si="4"/>
        <v>10</v>
      </c>
      <c r="L48" s="16">
        <f t="shared" si="4"/>
        <v>11</v>
      </c>
      <c r="M48" s="18"/>
    </row>
    <row r="49" spans="1:13" x14ac:dyDescent="0.25">
      <c r="A49" s="12">
        <f>A$3</f>
        <v>1</v>
      </c>
      <c r="B49" s="4">
        <v>0</v>
      </c>
      <c r="C49" s="1">
        <v>0</v>
      </c>
      <c r="D49" s="1">
        <v>1</v>
      </c>
      <c r="E49" s="3">
        <v>0</v>
      </c>
      <c r="F49" s="3">
        <v>0</v>
      </c>
      <c r="G49" s="3">
        <v>0</v>
      </c>
      <c r="H49" s="3">
        <v>0</v>
      </c>
      <c r="I49" s="3">
        <v>0</v>
      </c>
      <c r="J49" s="3">
        <v>0</v>
      </c>
      <c r="K49" s="1">
        <v>0</v>
      </c>
      <c r="L49" s="3">
        <v>0</v>
      </c>
      <c r="M49" s="18"/>
    </row>
    <row r="50" spans="1:13" x14ac:dyDescent="0.25">
      <c r="A50" s="12">
        <f>A$4</f>
        <v>2</v>
      </c>
      <c r="B50" s="4">
        <v>0</v>
      </c>
      <c r="C50" s="1">
        <v>0</v>
      </c>
      <c r="D50" s="3">
        <v>0</v>
      </c>
      <c r="E50" s="3">
        <v>0</v>
      </c>
      <c r="F50" s="3">
        <v>1</v>
      </c>
      <c r="G50" s="3">
        <v>0</v>
      </c>
      <c r="H50" s="3">
        <v>0</v>
      </c>
      <c r="I50" s="3">
        <v>0</v>
      </c>
      <c r="J50" s="3">
        <v>0</v>
      </c>
      <c r="K50" s="3">
        <v>0</v>
      </c>
      <c r="L50" s="3">
        <v>0</v>
      </c>
      <c r="M50" s="18"/>
    </row>
    <row r="51" spans="1:13" x14ac:dyDescent="0.25">
      <c r="A51" s="12">
        <f>A$5</f>
        <v>3</v>
      </c>
      <c r="B51" s="4">
        <v>0</v>
      </c>
      <c r="C51" s="1">
        <v>0</v>
      </c>
      <c r="D51" s="3">
        <v>1</v>
      </c>
      <c r="E51" s="3">
        <v>0</v>
      </c>
      <c r="F51" s="3">
        <v>0</v>
      </c>
      <c r="G51" s="3">
        <v>0</v>
      </c>
      <c r="H51" s="3">
        <v>0</v>
      </c>
      <c r="I51" s="3">
        <v>0</v>
      </c>
      <c r="J51" s="3">
        <v>0</v>
      </c>
      <c r="K51" s="3">
        <v>0</v>
      </c>
      <c r="L51" s="3">
        <v>0</v>
      </c>
      <c r="M51" s="18"/>
    </row>
    <row r="52" spans="1:13" x14ac:dyDescent="0.25">
      <c r="A52" s="12">
        <f>A$6</f>
        <v>4</v>
      </c>
      <c r="B52" s="4">
        <v>0</v>
      </c>
      <c r="C52" s="1">
        <v>0</v>
      </c>
      <c r="D52" s="3">
        <v>0</v>
      </c>
      <c r="E52" s="3">
        <v>0</v>
      </c>
      <c r="F52" s="3">
        <v>0</v>
      </c>
      <c r="G52" s="3">
        <v>0</v>
      </c>
      <c r="H52" s="3">
        <v>0</v>
      </c>
      <c r="I52" s="3">
        <v>0</v>
      </c>
      <c r="J52" s="3">
        <v>0</v>
      </c>
      <c r="K52" s="3">
        <v>0</v>
      </c>
      <c r="L52" s="3">
        <v>0</v>
      </c>
      <c r="M52" s="18"/>
    </row>
    <row r="53" spans="1:13" x14ac:dyDescent="0.25">
      <c r="A53" s="12">
        <f>A$7</f>
        <v>5</v>
      </c>
      <c r="B53" s="3">
        <v>0</v>
      </c>
      <c r="C53" s="3">
        <v>1</v>
      </c>
      <c r="D53" s="3">
        <v>0</v>
      </c>
      <c r="E53" s="3">
        <v>0</v>
      </c>
      <c r="F53" s="3">
        <v>0</v>
      </c>
      <c r="G53" s="3">
        <v>0</v>
      </c>
      <c r="H53" s="3">
        <v>0</v>
      </c>
      <c r="I53" s="3">
        <v>0</v>
      </c>
      <c r="J53" s="3">
        <v>0</v>
      </c>
      <c r="K53" s="3">
        <v>0</v>
      </c>
      <c r="L53" s="3">
        <v>0</v>
      </c>
      <c r="M53" s="18"/>
    </row>
    <row r="54" spans="1:13" x14ac:dyDescent="0.25">
      <c r="A54" s="12">
        <f>A$8</f>
        <v>6</v>
      </c>
      <c r="B54" s="4">
        <v>0</v>
      </c>
      <c r="C54" s="1">
        <v>0</v>
      </c>
      <c r="D54" s="3">
        <v>0</v>
      </c>
      <c r="E54" s="3">
        <v>0</v>
      </c>
      <c r="F54" s="3">
        <v>0</v>
      </c>
      <c r="G54" s="3">
        <v>0</v>
      </c>
      <c r="H54" s="3">
        <v>0</v>
      </c>
      <c r="I54" s="3">
        <v>0</v>
      </c>
      <c r="J54" s="3">
        <v>0</v>
      </c>
      <c r="K54" s="3">
        <v>0</v>
      </c>
      <c r="L54" s="3">
        <v>0</v>
      </c>
      <c r="M54" s="18"/>
    </row>
    <row r="55" spans="1:13" x14ac:dyDescent="0.25">
      <c r="M55" s="19"/>
    </row>
    <row r="56" spans="1:13" x14ac:dyDescent="0.25">
      <c r="A56" s="7" t="s">
        <v>322</v>
      </c>
      <c r="B56" s="13" t="s">
        <v>323</v>
      </c>
      <c r="C56" s="14" t="s">
        <v>113</v>
      </c>
      <c r="D56" s="14"/>
      <c r="E56" s="14"/>
      <c r="F56" s="14"/>
      <c r="G56" s="14"/>
      <c r="H56" s="14"/>
      <c r="I56" s="14"/>
      <c r="J56" s="14"/>
      <c r="K56" s="14"/>
      <c r="L56" s="14"/>
      <c r="M56" s="18"/>
    </row>
    <row r="57" spans="1:13" x14ac:dyDescent="0.25">
      <c r="A57" s="12" t="str">
        <f t="shared" ref="A57:L57" si="5">A$2</f>
        <v>Types</v>
      </c>
      <c r="B57" s="15">
        <f t="shared" si="5"/>
        <v>1</v>
      </c>
      <c r="C57" s="16">
        <f t="shared" si="5"/>
        <v>2</v>
      </c>
      <c r="D57" s="16">
        <f t="shared" si="5"/>
        <v>3</v>
      </c>
      <c r="E57" s="16">
        <f t="shared" si="5"/>
        <v>4</v>
      </c>
      <c r="F57" s="16">
        <f t="shared" si="5"/>
        <v>5</v>
      </c>
      <c r="G57" s="16">
        <f t="shared" si="5"/>
        <v>6</v>
      </c>
      <c r="H57" s="16">
        <f t="shared" si="5"/>
        <v>7</v>
      </c>
      <c r="I57" s="16">
        <f t="shared" si="5"/>
        <v>8</v>
      </c>
      <c r="J57" s="16">
        <f t="shared" si="5"/>
        <v>9</v>
      </c>
      <c r="K57" s="16">
        <f t="shared" si="5"/>
        <v>10</v>
      </c>
      <c r="L57" s="16">
        <f t="shared" si="5"/>
        <v>11</v>
      </c>
      <c r="M57" s="18"/>
    </row>
    <row r="58" spans="1:13" x14ac:dyDescent="0.25">
      <c r="A58" s="12">
        <f>A$3</f>
        <v>1</v>
      </c>
      <c r="B58" s="39" t="s">
        <v>416</v>
      </c>
      <c r="C58" s="1" t="s">
        <v>5</v>
      </c>
      <c r="D58" s="1" t="s">
        <v>5</v>
      </c>
      <c r="E58" s="1" t="s">
        <v>5</v>
      </c>
      <c r="F58" s="1" t="s">
        <v>5</v>
      </c>
      <c r="G58" s="1" t="s">
        <v>5</v>
      </c>
      <c r="H58" s="1" t="s">
        <v>5</v>
      </c>
      <c r="I58" s="1" t="s">
        <v>5</v>
      </c>
      <c r="J58" s="1" t="s">
        <v>5</v>
      </c>
      <c r="K58" s="1" t="s">
        <v>5</v>
      </c>
      <c r="L58" s="1" t="s">
        <v>5</v>
      </c>
      <c r="M58" s="18"/>
    </row>
    <row r="59" spans="1:13" x14ac:dyDescent="0.25">
      <c r="A59" s="12">
        <f>A$4</f>
        <v>2</v>
      </c>
      <c r="B59" s="39" t="s">
        <v>416</v>
      </c>
      <c r="C59" s="1" t="s">
        <v>5</v>
      </c>
      <c r="D59" s="3" t="s">
        <v>5</v>
      </c>
      <c r="E59" s="3" t="s">
        <v>5</v>
      </c>
      <c r="F59" s="3" t="s">
        <v>5</v>
      </c>
      <c r="G59" s="3" t="s">
        <v>5</v>
      </c>
      <c r="H59" s="3" t="s">
        <v>5</v>
      </c>
      <c r="I59" s="3" t="s">
        <v>5</v>
      </c>
      <c r="J59" s="3" t="s">
        <v>5</v>
      </c>
      <c r="K59" s="3" t="s">
        <v>5</v>
      </c>
      <c r="L59" s="3" t="s">
        <v>5</v>
      </c>
      <c r="M59" s="18"/>
    </row>
    <row r="60" spans="1:13" x14ac:dyDescent="0.25">
      <c r="A60" s="12">
        <f>A$5</f>
        <v>3</v>
      </c>
      <c r="B60" s="4" t="s">
        <v>17</v>
      </c>
      <c r="C60" s="1" t="s">
        <v>5</v>
      </c>
      <c r="D60" s="3" t="s">
        <v>5</v>
      </c>
      <c r="E60" s="3" t="s">
        <v>5</v>
      </c>
      <c r="F60" s="3" t="s">
        <v>5</v>
      </c>
      <c r="G60" s="3" t="s">
        <v>5</v>
      </c>
      <c r="H60" s="3" t="s">
        <v>5</v>
      </c>
      <c r="I60" s="3" t="s">
        <v>5</v>
      </c>
      <c r="J60" s="3" t="s">
        <v>5</v>
      </c>
      <c r="K60" s="3" t="s">
        <v>5</v>
      </c>
      <c r="L60" s="3" t="s">
        <v>5</v>
      </c>
      <c r="M60" s="18"/>
    </row>
    <row r="61" spans="1:13" x14ac:dyDescent="0.25">
      <c r="A61" s="12">
        <f>A$6</f>
        <v>4</v>
      </c>
      <c r="B61" s="1" t="s">
        <v>17</v>
      </c>
      <c r="C61" s="1" t="s">
        <v>385</v>
      </c>
      <c r="D61" s="3" t="s">
        <v>5</v>
      </c>
      <c r="E61" s="3" t="s">
        <v>5</v>
      </c>
      <c r="F61" s="3" t="s">
        <v>5</v>
      </c>
      <c r="G61" s="3" t="s">
        <v>5</v>
      </c>
      <c r="H61" s="3" t="s">
        <v>5</v>
      </c>
      <c r="I61" s="3" t="s">
        <v>5</v>
      </c>
      <c r="J61" s="3" t="s">
        <v>5</v>
      </c>
      <c r="K61" s="3" t="s">
        <v>5</v>
      </c>
      <c r="L61" s="3" t="s">
        <v>5</v>
      </c>
      <c r="M61" s="18"/>
    </row>
    <row r="62" spans="1:13" x14ac:dyDescent="0.25">
      <c r="A62" s="12">
        <f>A$7</f>
        <v>5</v>
      </c>
      <c r="B62" s="4" t="s">
        <v>18</v>
      </c>
      <c r="C62" s="3" t="s">
        <v>5</v>
      </c>
      <c r="D62" s="3" t="s">
        <v>5</v>
      </c>
      <c r="E62" s="3" t="s">
        <v>5</v>
      </c>
      <c r="F62" s="3" t="s">
        <v>5</v>
      </c>
      <c r="G62" s="3" t="s">
        <v>5</v>
      </c>
      <c r="H62" s="3" t="s">
        <v>5</v>
      </c>
      <c r="I62" s="3" t="s">
        <v>5</v>
      </c>
      <c r="J62" s="3" t="s">
        <v>5</v>
      </c>
      <c r="K62" s="3" t="s">
        <v>5</v>
      </c>
      <c r="L62" s="3" t="s">
        <v>5</v>
      </c>
      <c r="M62" s="18"/>
    </row>
    <row r="63" spans="1:13" x14ac:dyDescent="0.25">
      <c r="A63" s="12">
        <f>A$8</f>
        <v>6</v>
      </c>
      <c r="B63" s="3" t="s">
        <v>5</v>
      </c>
      <c r="C63" s="1" t="s">
        <v>5</v>
      </c>
      <c r="D63" s="3" t="s">
        <v>5</v>
      </c>
      <c r="E63" s="3" t="s">
        <v>5</v>
      </c>
      <c r="F63" s="3" t="s">
        <v>5</v>
      </c>
      <c r="G63" s="3" t="s">
        <v>5</v>
      </c>
      <c r="H63" s="3" t="s">
        <v>5</v>
      </c>
      <c r="I63" s="3" t="s">
        <v>5</v>
      </c>
      <c r="J63" s="3" t="s">
        <v>5</v>
      </c>
      <c r="K63" s="3" t="s">
        <v>5</v>
      </c>
      <c r="L63" s="3" t="s">
        <v>5</v>
      </c>
      <c r="M63" s="18"/>
    </row>
    <row r="64" spans="1:13" x14ac:dyDescent="0.25">
      <c r="M64" s="19"/>
    </row>
    <row r="65" spans="1:13" x14ac:dyDescent="0.25">
      <c r="A65" s="7" t="s">
        <v>14</v>
      </c>
      <c r="B65" s="13" t="str">
        <f>B$1</f>
        <v>Variants</v>
      </c>
      <c r="C65" s="14"/>
      <c r="D65" s="14"/>
      <c r="E65" s="14"/>
      <c r="F65" s="14"/>
      <c r="G65" s="14"/>
      <c r="H65" s="14"/>
      <c r="I65" s="14"/>
      <c r="J65" s="14"/>
      <c r="K65" s="14"/>
      <c r="L65" s="14"/>
      <c r="M65" s="18"/>
    </row>
    <row r="66" spans="1:13" x14ac:dyDescent="0.25">
      <c r="A66" s="12" t="str">
        <f t="shared" ref="A66:L66" si="6">A$2</f>
        <v>Types</v>
      </c>
      <c r="B66" s="15">
        <f t="shared" si="6"/>
        <v>1</v>
      </c>
      <c r="C66" s="16">
        <f t="shared" si="6"/>
        <v>2</v>
      </c>
      <c r="D66" s="16">
        <f t="shared" si="6"/>
        <v>3</v>
      </c>
      <c r="E66" s="16">
        <f t="shared" si="6"/>
        <v>4</v>
      </c>
      <c r="F66" s="16">
        <f t="shared" si="6"/>
        <v>5</v>
      </c>
      <c r="G66" s="16">
        <f t="shared" si="6"/>
        <v>6</v>
      </c>
      <c r="H66" s="16">
        <f t="shared" si="6"/>
        <v>7</v>
      </c>
      <c r="I66" s="16">
        <f t="shared" si="6"/>
        <v>8</v>
      </c>
      <c r="J66" s="16">
        <f t="shared" si="6"/>
        <v>9</v>
      </c>
      <c r="K66" s="16">
        <f t="shared" si="6"/>
        <v>10</v>
      </c>
      <c r="L66" s="16">
        <f t="shared" si="6"/>
        <v>11</v>
      </c>
      <c r="M66" s="18"/>
    </row>
    <row r="67" spans="1:13" x14ac:dyDescent="0.25">
      <c r="A67" s="12">
        <f>A$3</f>
        <v>1</v>
      </c>
      <c r="B67" s="4">
        <v>70</v>
      </c>
      <c r="C67" s="1">
        <v>70</v>
      </c>
      <c r="D67" s="1">
        <v>70</v>
      </c>
      <c r="E67" s="3">
        <v>70</v>
      </c>
      <c r="F67" s="3" t="s">
        <v>5</v>
      </c>
      <c r="G67" s="3" t="s">
        <v>5</v>
      </c>
      <c r="H67" s="3" t="s">
        <v>5</v>
      </c>
      <c r="I67" s="3" t="s">
        <v>5</v>
      </c>
      <c r="J67" s="3" t="s">
        <v>5</v>
      </c>
      <c r="K67" s="3" t="s">
        <v>5</v>
      </c>
      <c r="L67" s="3" t="s">
        <v>5</v>
      </c>
      <c r="M67" s="18"/>
    </row>
    <row r="68" spans="1:13" x14ac:dyDescent="0.25">
      <c r="A68" s="12">
        <f>A$4</f>
        <v>2</v>
      </c>
      <c r="B68" s="4">
        <v>70</v>
      </c>
      <c r="C68" s="1">
        <v>70</v>
      </c>
      <c r="D68" s="3">
        <v>70</v>
      </c>
      <c r="E68" s="3">
        <v>70</v>
      </c>
      <c r="F68" s="3">
        <v>150</v>
      </c>
      <c r="G68" s="3" t="s">
        <v>5</v>
      </c>
      <c r="H68" s="3" t="s">
        <v>5</v>
      </c>
      <c r="I68" s="3" t="s">
        <v>5</v>
      </c>
      <c r="J68" s="3" t="s">
        <v>5</v>
      </c>
      <c r="K68" s="3" t="s">
        <v>5</v>
      </c>
      <c r="L68" s="3" t="s">
        <v>5</v>
      </c>
      <c r="M68" s="18"/>
    </row>
    <row r="69" spans="1:13" x14ac:dyDescent="0.25">
      <c r="A69" s="12">
        <f>A$5</f>
        <v>3</v>
      </c>
      <c r="B69" s="4">
        <v>150</v>
      </c>
      <c r="C69" s="1">
        <v>150</v>
      </c>
      <c r="D69" s="3">
        <v>150</v>
      </c>
      <c r="E69" s="3" t="s">
        <v>5</v>
      </c>
      <c r="F69" s="3" t="s">
        <v>5</v>
      </c>
      <c r="G69" s="3" t="s">
        <v>5</v>
      </c>
      <c r="H69" s="3" t="s">
        <v>5</v>
      </c>
      <c r="I69" s="3" t="s">
        <v>5</v>
      </c>
      <c r="J69" s="3" t="s">
        <v>5</v>
      </c>
      <c r="K69" s="3" t="s">
        <v>5</v>
      </c>
      <c r="L69" s="3" t="s">
        <v>5</v>
      </c>
      <c r="M69" s="18"/>
    </row>
    <row r="70" spans="1:13" x14ac:dyDescent="0.25">
      <c r="A70" s="12">
        <f>A$6</f>
        <v>4</v>
      </c>
      <c r="B70" s="3">
        <v>150</v>
      </c>
      <c r="C70" s="3" t="s">
        <v>5</v>
      </c>
      <c r="D70" s="3" t="s">
        <v>5</v>
      </c>
      <c r="E70" s="3" t="s">
        <v>5</v>
      </c>
      <c r="F70" s="3" t="s">
        <v>5</v>
      </c>
      <c r="G70" s="3" t="s">
        <v>5</v>
      </c>
      <c r="H70" s="3" t="s">
        <v>5</v>
      </c>
      <c r="I70" s="3" t="s">
        <v>5</v>
      </c>
      <c r="J70" s="3" t="s">
        <v>5</v>
      </c>
      <c r="K70" s="3" t="s">
        <v>5</v>
      </c>
      <c r="L70" s="3" t="s">
        <v>5</v>
      </c>
      <c r="M70" s="18"/>
    </row>
    <row r="71" spans="1:13" x14ac:dyDescent="0.25">
      <c r="A71" s="12">
        <f>A$7</f>
        <v>5</v>
      </c>
      <c r="B71" s="4">
        <v>70</v>
      </c>
      <c r="C71" s="1">
        <v>70</v>
      </c>
      <c r="D71" s="3" t="s">
        <v>5</v>
      </c>
      <c r="E71" s="3" t="s">
        <v>5</v>
      </c>
      <c r="F71" s="3" t="s">
        <v>5</v>
      </c>
      <c r="G71" s="3" t="s">
        <v>5</v>
      </c>
      <c r="H71" s="3" t="s">
        <v>5</v>
      </c>
      <c r="I71" s="3" t="s">
        <v>5</v>
      </c>
      <c r="J71" s="3" t="s">
        <v>5</v>
      </c>
      <c r="K71" s="3" t="s">
        <v>5</v>
      </c>
      <c r="L71" s="3" t="s">
        <v>5</v>
      </c>
      <c r="M71" s="18"/>
    </row>
    <row r="72" spans="1:13" x14ac:dyDescent="0.25">
      <c r="A72" s="12">
        <f>A$8</f>
        <v>6</v>
      </c>
      <c r="B72" s="28" t="s">
        <v>5</v>
      </c>
      <c r="C72" s="3" t="s">
        <v>5</v>
      </c>
      <c r="D72" s="3" t="s">
        <v>5</v>
      </c>
      <c r="E72" s="3" t="s">
        <v>5</v>
      </c>
      <c r="F72" s="3" t="s">
        <v>5</v>
      </c>
      <c r="G72" s="3" t="s">
        <v>5</v>
      </c>
      <c r="H72" s="3" t="s">
        <v>5</v>
      </c>
      <c r="I72" s="3" t="s">
        <v>5</v>
      </c>
      <c r="J72" s="3" t="s">
        <v>5</v>
      </c>
      <c r="K72" s="3" t="s">
        <v>5</v>
      </c>
      <c r="L72" s="3" t="s">
        <v>5</v>
      </c>
      <c r="M72" s="18"/>
    </row>
    <row r="73" spans="1:13" x14ac:dyDescent="0.25">
      <c r="M73" s="19"/>
    </row>
    <row r="74" spans="1:13" x14ac:dyDescent="0.25">
      <c r="A74" s="7" t="s">
        <v>20</v>
      </c>
      <c r="B74" s="13" t="str">
        <f>B$1</f>
        <v>Variants</v>
      </c>
      <c r="C74" s="14"/>
      <c r="D74" s="14"/>
      <c r="E74" s="14"/>
      <c r="F74" s="14"/>
      <c r="G74" s="14"/>
      <c r="H74" s="14"/>
      <c r="I74" s="14"/>
      <c r="J74" s="14"/>
      <c r="K74" s="14"/>
      <c r="L74" s="14"/>
      <c r="M74" s="18"/>
    </row>
    <row r="75" spans="1:13" x14ac:dyDescent="0.25">
      <c r="A75" s="12" t="str">
        <f t="shared" ref="A75:L75" si="7">A$2</f>
        <v>Types</v>
      </c>
      <c r="B75" s="15">
        <f t="shared" si="7"/>
        <v>1</v>
      </c>
      <c r="C75" s="16">
        <f t="shared" si="7"/>
        <v>2</v>
      </c>
      <c r="D75" s="16">
        <f t="shared" si="7"/>
        <v>3</v>
      </c>
      <c r="E75" s="16">
        <f t="shared" si="7"/>
        <v>4</v>
      </c>
      <c r="F75" s="16">
        <f t="shared" si="7"/>
        <v>5</v>
      </c>
      <c r="G75" s="16">
        <f t="shared" si="7"/>
        <v>6</v>
      </c>
      <c r="H75" s="16">
        <f t="shared" si="7"/>
        <v>7</v>
      </c>
      <c r="I75" s="16">
        <f t="shared" si="7"/>
        <v>8</v>
      </c>
      <c r="J75" s="16">
        <f t="shared" si="7"/>
        <v>9</v>
      </c>
      <c r="K75" s="16">
        <f t="shared" si="7"/>
        <v>10</v>
      </c>
      <c r="L75" s="16">
        <f t="shared" si="7"/>
        <v>11</v>
      </c>
      <c r="M75" s="18"/>
    </row>
    <row r="76" spans="1:13" x14ac:dyDescent="0.25">
      <c r="A76" s="12">
        <f>A$3</f>
        <v>1</v>
      </c>
      <c r="B76" s="4">
        <v>70</v>
      </c>
      <c r="C76" s="1">
        <v>70</v>
      </c>
      <c r="D76" s="1">
        <v>70</v>
      </c>
      <c r="E76" s="3">
        <v>70</v>
      </c>
      <c r="F76" s="3" t="s">
        <v>5</v>
      </c>
      <c r="G76" s="3" t="s">
        <v>5</v>
      </c>
      <c r="H76" s="3" t="s">
        <v>5</v>
      </c>
      <c r="I76" s="3" t="s">
        <v>5</v>
      </c>
      <c r="J76" s="3" t="s">
        <v>5</v>
      </c>
      <c r="K76" s="3" t="s">
        <v>5</v>
      </c>
      <c r="L76" s="3" t="s">
        <v>5</v>
      </c>
      <c r="M76" s="18"/>
    </row>
    <row r="77" spans="1:13" x14ac:dyDescent="0.25">
      <c r="A77" s="12">
        <f>A$4</f>
        <v>2</v>
      </c>
      <c r="B77" s="4">
        <v>70</v>
      </c>
      <c r="C77" s="1">
        <v>70</v>
      </c>
      <c r="D77" s="3">
        <v>70</v>
      </c>
      <c r="E77" s="3">
        <v>70</v>
      </c>
      <c r="F77" s="3">
        <v>300</v>
      </c>
      <c r="G77" s="3" t="s">
        <v>5</v>
      </c>
      <c r="H77" s="3" t="s">
        <v>5</v>
      </c>
      <c r="I77" s="3" t="s">
        <v>5</v>
      </c>
      <c r="J77" s="3" t="s">
        <v>5</v>
      </c>
      <c r="K77" s="3" t="s">
        <v>5</v>
      </c>
      <c r="L77" s="3" t="s">
        <v>5</v>
      </c>
      <c r="M77" s="18"/>
    </row>
    <row r="78" spans="1:13" x14ac:dyDescent="0.25">
      <c r="A78" s="12">
        <f>A$5</f>
        <v>3</v>
      </c>
      <c r="B78" s="4">
        <v>300</v>
      </c>
      <c r="C78" s="1">
        <v>300</v>
      </c>
      <c r="D78" s="3">
        <v>300</v>
      </c>
      <c r="E78" s="3" t="s">
        <v>5</v>
      </c>
      <c r="F78" s="3" t="s">
        <v>5</v>
      </c>
      <c r="G78" s="3" t="s">
        <v>5</v>
      </c>
      <c r="H78" s="3" t="s">
        <v>5</v>
      </c>
      <c r="I78" s="3" t="s">
        <v>5</v>
      </c>
      <c r="J78" s="3" t="s">
        <v>5</v>
      </c>
      <c r="K78" s="3" t="s">
        <v>5</v>
      </c>
      <c r="L78" s="3" t="s">
        <v>5</v>
      </c>
      <c r="M78" s="18"/>
    </row>
    <row r="79" spans="1:13" x14ac:dyDescent="0.25">
      <c r="A79" s="12">
        <f>A$6</f>
        <v>4</v>
      </c>
      <c r="B79" s="3">
        <v>300</v>
      </c>
      <c r="C79" s="3" t="s">
        <v>5</v>
      </c>
      <c r="D79" s="3" t="s">
        <v>5</v>
      </c>
      <c r="E79" s="3" t="s">
        <v>5</v>
      </c>
      <c r="F79" s="3" t="s">
        <v>5</v>
      </c>
      <c r="G79" s="3" t="s">
        <v>5</v>
      </c>
      <c r="H79" s="3" t="s">
        <v>5</v>
      </c>
      <c r="I79" s="3" t="s">
        <v>5</v>
      </c>
      <c r="J79" s="3" t="s">
        <v>5</v>
      </c>
      <c r="K79" s="3" t="s">
        <v>5</v>
      </c>
      <c r="L79" s="3" t="s">
        <v>5</v>
      </c>
      <c r="M79" s="18"/>
    </row>
    <row r="80" spans="1:13" x14ac:dyDescent="0.25">
      <c r="A80" s="12">
        <f>A$7</f>
        <v>5</v>
      </c>
      <c r="B80" s="4">
        <v>70</v>
      </c>
      <c r="C80" s="1">
        <v>70</v>
      </c>
      <c r="D80" s="3" t="s">
        <v>5</v>
      </c>
      <c r="E80" s="3" t="s">
        <v>5</v>
      </c>
      <c r="F80" s="3" t="s">
        <v>5</v>
      </c>
      <c r="G80" s="3" t="s">
        <v>5</v>
      </c>
      <c r="H80" s="3" t="s">
        <v>5</v>
      </c>
      <c r="I80" s="3" t="s">
        <v>5</v>
      </c>
      <c r="J80" s="3" t="s">
        <v>5</v>
      </c>
      <c r="K80" s="3" t="s">
        <v>5</v>
      </c>
      <c r="L80" s="3" t="s">
        <v>5</v>
      </c>
      <c r="M80" s="18"/>
    </row>
    <row r="81" spans="1:13" x14ac:dyDescent="0.25">
      <c r="A81" s="12">
        <f>A$8</f>
        <v>6</v>
      </c>
      <c r="B81" s="3" t="s">
        <v>5</v>
      </c>
      <c r="C81" s="3" t="s">
        <v>5</v>
      </c>
      <c r="D81" s="3" t="s">
        <v>5</v>
      </c>
      <c r="E81" s="3" t="s">
        <v>5</v>
      </c>
      <c r="F81" s="3" t="s">
        <v>5</v>
      </c>
      <c r="G81" s="3" t="s">
        <v>5</v>
      </c>
      <c r="H81" s="3" t="s">
        <v>5</v>
      </c>
      <c r="I81" s="3" t="s">
        <v>5</v>
      </c>
      <c r="J81" s="3" t="s">
        <v>5</v>
      </c>
      <c r="K81" s="3" t="s">
        <v>5</v>
      </c>
      <c r="L81" s="3" t="s">
        <v>5</v>
      </c>
      <c r="M81" s="18"/>
    </row>
    <row r="82" spans="1:13" x14ac:dyDescent="0.25">
      <c r="C82" s="9"/>
      <c r="M82" s="19"/>
    </row>
    <row r="83" spans="1:13" x14ac:dyDescent="0.25">
      <c r="A83" s="7" t="s">
        <v>15</v>
      </c>
      <c r="B83" s="13" t="str">
        <f>B$1</f>
        <v>Variants</v>
      </c>
      <c r="C83" s="14"/>
      <c r="D83" s="14"/>
      <c r="E83" s="14"/>
      <c r="F83" s="14"/>
      <c r="G83" s="14"/>
      <c r="H83" s="14"/>
      <c r="I83" s="14"/>
      <c r="J83" s="14"/>
      <c r="K83" s="14"/>
      <c r="L83" s="14"/>
      <c r="M83" s="18"/>
    </row>
    <row r="84" spans="1:13" x14ac:dyDescent="0.25">
      <c r="A84" s="12" t="str">
        <f t="shared" ref="A84:L84" si="8">A$2</f>
        <v>Types</v>
      </c>
      <c r="B84" s="15">
        <f t="shared" si="8"/>
        <v>1</v>
      </c>
      <c r="C84" s="16">
        <f t="shared" si="8"/>
        <v>2</v>
      </c>
      <c r="D84" s="16">
        <f t="shared" si="8"/>
        <v>3</v>
      </c>
      <c r="E84" s="16">
        <f t="shared" si="8"/>
        <v>4</v>
      </c>
      <c r="F84" s="16">
        <f t="shared" si="8"/>
        <v>5</v>
      </c>
      <c r="G84" s="16">
        <f t="shared" si="8"/>
        <v>6</v>
      </c>
      <c r="H84" s="16">
        <f t="shared" si="8"/>
        <v>7</v>
      </c>
      <c r="I84" s="16">
        <f t="shared" si="8"/>
        <v>8</v>
      </c>
      <c r="J84" s="16">
        <f t="shared" si="8"/>
        <v>9</v>
      </c>
      <c r="K84" s="16">
        <f t="shared" si="8"/>
        <v>10</v>
      </c>
      <c r="L84" s="16">
        <f t="shared" si="8"/>
        <v>11</v>
      </c>
      <c r="M84" s="18"/>
    </row>
    <row r="85" spans="1:13" x14ac:dyDescent="0.25">
      <c r="A85" s="12">
        <f>A$3</f>
        <v>1</v>
      </c>
      <c r="B85" s="38" t="s">
        <v>415</v>
      </c>
      <c r="C85" s="37" t="s">
        <v>8</v>
      </c>
      <c r="D85" s="38" t="s">
        <v>415</v>
      </c>
      <c r="E85" s="37" t="s">
        <v>8</v>
      </c>
      <c r="F85" s="3" t="s">
        <v>5</v>
      </c>
      <c r="G85" s="3" t="s">
        <v>5</v>
      </c>
      <c r="H85" s="3" t="s">
        <v>5</v>
      </c>
      <c r="I85" s="3" t="s">
        <v>5</v>
      </c>
      <c r="J85" s="3" t="s">
        <v>5</v>
      </c>
      <c r="K85" s="3" t="s">
        <v>5</v>
      </c>
      <c r="L85" s="3" t="s">
        <v>5</v>
      </c>
      <c r="M85" s="18"/>
    </row>
    <row r="86" spans="1:13" x14ac:dyDescent="0.25">
      <c r="A86" s="12">
        <f>A$4</f>
        <v>2</v>
      </c>
      <c r="B86" s="38" t="s">
        <v>415</v>
      </c>
      <c r="C86" s="37" t="s">
        <v>8</v>
      </c>
      <c r="D86" s="38" t="s">
        <v>415</v>
      </c>
      <c r="E86" s="37" t="s">
        <v>8</v>
      </c>
      <c r="F86" s="1" t="s">
        <v>8</v>
      </c>
      <c r="G86" s="3" t="s">
        <v>5</v>
      </c>
      <c r="H86" s="3" t="s">
        <v>5</v>
      </c>
      <c r="I86" s="3" t="s">
        <v>5</v>
      </c>
      <c r="J86" s="3" t="s">
        <v>5</v>
      </c>
      <c r="K86" s="3" t="s">
        <v>5</v>
      </c>
      <c r="L86" s="3" t="s">
        <v>5</v>
      </c>
      <c r="M86" s="18"/>
    </row>
    <row r="87" spans="1:13" x14ac:dyDescent="0.25">
      <c r="A87" s="12">
        <f>A$5</f>
        <v>3</v>
      </c>
      <c r="B87" s="4" t="s">
        <v>8</v>
      </c>
      <c r="C87" s="1" t="s">
        <v>8</v>
      </c>
      <c r="D87" s="1" t="s">
        <v>8</v>
      </c>
      <c r="E87" s="3" t="s">
        <v>5</v>
      </c>
      <c r="F87" s="3" t="s">
        <v>5</v>
      </c>
      <c r="G87" s="3" t="s">
        <v>5</v>
      </c>
      <c r="H87" s="3" t="s">
        <v>5</v>
      </c>
      <c r="I87" s="3" t="s">
        <v>5</v>
      </c>
      <c r="J87" s="3" t="s">
        <v>5</v>
      </c>
      <c r="K87" s="3" t="s">
        <v>5</v>
      </c>
      <c r="L87" s="3" t="s">
        <v>5</v>
      </c>
      <c r="M87" s="18"/>
    </row>
    <row r="88" spans="1:13" x14ac:dyDescent="0.25">
      <c r="A88" s="12">
        <f>A$6</f>
        <v>4</v>
      </c>
      <c r="B88" s="1" t="s">
        <v>364</v>
      </c>
      <c r="C88" s="3" t="s">
        <v>5</v>
      </c>
      <c r="D88" s="3" t="s">
        <v>5</v>
      </c>
      <c r="E88" s="3" t="s">
        <v>5</v>
      </c>
      <c r="F88" s="3" t="s">
        <v>5</v>
      </c>
      <c r="G88" s="3" t="s">
        <v>5</v>
      </c>
      <c r="H88" s="3" t="s">
        <v>5</v>
      </c>
      <c r="I88" s="3" t="s">
        <v>5</v>
      </c>
      <c r="J88" s="3" t="s">
        <v>5</v>
      </c>
      <c r="K88" s="3" t="s">
        <v>5</v>
      </c>
      <c r="L88" s="3" t="s">
        <v>5</v>
      </c>
      <c r="M88" s="18"/>
    </row>
    <row r="89" spans="1:13" x14ac:dyDescent="0.25">
      <c r="A89" s="12">
        <f>A$7</f>
        <v>5</v>
      </c>
      <c r="B89" s="4" t="s">
        <v>9</v>
      </c>
      <c r="C89" s="1" t="s">
        <v>9</v>
      </c>
      <c r="D89" s="3" t="s">
        <v>5</v>
      </c>
      <c r="E89" s="3" t="s">
        <v>5</v>
      </c>
      <c r="F89" s="3" t="s">
        <v>5</v>
      </c>
      <c r="G89" s="3" t="s">
        <v>5</v>
      </c>
      <c r="H89" s="3" t="s">
        <v>5</v>
      </c>
      <c r="I89" s="3" t="s">
        <v>5</v>
      </c>
      <c r="J89" s="3" t="s">
        <v>5</v>
      </c>
      <c r="K89" s="3" t="s">
        <v>5</v>
      </c>
      <c r="L89" s="3" t="s">
        <v>5</v>
      </c>
      <c r="M89" s="18"/>
    </row>
    <row r="90" spans="1:13" x14ac:dyDescent="0.25">
      <c r="A90" s="12">
        <f>A$8</f>
        <v>6</v>
      </c>
      <c r="B90" s="3" t="s">
        <v>5</v>
      </c>
      <c r="C90" s="3" t="s">
        <v>5</v>
      </c>
      <c r="D90" s="3" t="s">
        <v>5</v>
      </c>
      <c r="E90" s="3" t="s">
        <v>5</v>
      </c>
      <c r="F90" s="3" t="s">
        <v>5</v>
      </c>
      <c r="G90" s="3" t="s">
        <v>5</v>
      </c>
      <c r="H90" s="3" t="s">
        <v>5</v>
      </c>
      <c r="I90" s="3" t="s">
        <v>5</v>
      </c>
      <c r="J90" s="3" t="s">
        <v>5</v>
      </c>
      <c r="K90" s="3" t="s">
        <v>5</v>
      </c>
      <c r="L90" s="3" t="s">
        <v>5</v>
      </c>
      <c r="M90" s="18"/>
    </row>
    <row r="91" spans="1:13" x14ac:dyDescent="0.25">
      <c r="M91" s="19"/>
    </row>
    <row r="92" spans="1:13" x14ac:dyDescent="0.25">
      <c r="A92" s="7" t="s">
        <v>19</v>
      </c>
      <c r="B92" s="13" t="str">
        <f>B$1</f>
        <v>Variants</v>
      </c>
      <c r="C92" s="14"/>
      <c r="D92" s="14"/>
      <c r="E92" s="14"/>
      <c r="F92" s="14"/>
      <c r="G92" s="14"/>
      <c r="H92" s="14"/>
      <c r="I92" s="14"/>
      <c r="J92" s="14"/>
      <c r="K92" s="14"/>
      <c r="L92" s="14"/>
      <c r="M92" s="18"/>
    </row>
    <row r="93" spans="1:13" x14ac:dyDescent="0.25">
      <c r="A93" s="12" t="str">
        <f t="shared" ref="A93:L93" si="9">A$2</f>
        <v>Types</v>
      </c>
      <c r="B93" s="15">
        <f t="shared" si="9"/>
        <v>1</v>
      </c>
      <c r="C93" s="16">
        <f t="shared" si="9"/>
        <v>2</v>
      </c>
      <c r="D93" s="16">
        <f t="shared" si="9"/>
        <v>3</v>
      </c>
      <c r="E93" s="16">
        <f t="shared" si="9"/>
        <v>4</v>
      </c>
      <c r="F93" s="16">
        <f t="shared" si="9"/>
        <v>5</v>
      </c>
      <c r="G93" s="16">
        <f t="shared" si="9"/>
        <v>6</v>
      </c>
      <c r="H93" s="16">
        <f t="shared" si="9"/>
        <v>7</v>
      </c>
      <c r="I93" s="16">
        <f t="shared" si="9"/>
        <v>8</v>
      </c>
      <c r="J93" s="16">
        <f t="shared" si="9"/>
        <v>9</v>
      </c>
      <c r="K93" s="16">
        <f t="shared" si="9"/>
        <v>10</v>
      </c>
      <c r="L93" s="16">
        <f t="shared" si="9"/>
        <v>11</v>
      </c>
      <c r="M93" s="18"/>
    </row>
    <row r="94" spans="1:13" x14ac:dyDescent="0.25">
      <c r="A94" s="12">
        <f>A$3</f>
        <v>1</v>
      </c>
      <c r="B94" s="4">
        <v>12</v>
      </c>
      <c r="C94" s="1">
        <v>25</v>
      </c>
      <c r="D94" s="1">
        <v>12</v>
      </c>
      <c r="E94" s="3">
        <v>25</v>
      </c>
      <c r="F94" s="3" t="s">
        <v>5</v>
      </c>
      <c r="G94" s="3" t="s">
        <v>5</v>
      </c>
      <c r="H94" s="3" t="s">
        <v>5</v>
      </c>
      <c r="I94" s="3" t="s">
        <v>5</v>
      </c>
      <c r="J94" s="3" t="s">
        <v>5</v>
      </c>
      <c r="K94" s="3" t="s">
        <v>5</v>
      </c>
      <c r="L94" s="3" t="s">
        <v>5</v>
      </c>
      <c r="M94" s="18"/>
    </row>
    <row r="95" spans="1:13" x14ac:dyDescent="0.25">
      <c r="A95" s="12">
        <f>A$4</f>
        <v>2</v>
      </c>
      <c r="B95" s="4">
        <v>12</v>
      </c>
      <c r="C95" s="1">
        <v>25</v>
      </c>
      <c r="D95" s="3">
        <v>12</v>
      </c>
      <c r="E95" s="3">
        <v>25</v>
      </c>
      <c r="F95" s="3">
        <v>26</v>
      </c>
      <c r="G95" s="3" t="s">
        <v>5</v>
      </c>
      <c r="H95" s="3" t="s">
        <v>5</v>
      </c>
      <c r="I95" s="3" t="s">
        <v>5</v>
      </c>
      <c r="J95" s="3" t="s">
        <v>5</v>
      </c>
      <c r="K95" s="3" t="s">
        <v>5</v>
      </c>
      <c r="L95" s="3" t="s">
        <v>5</v>
      </c>
      <c r="M95" s="18"/>
    </row>
    <row r="96" spans="1:13" x14ac:dyDescent="0.25">
      <c r="A96" s="12">
        <f>A$5</f>
        <v>3</v>
      </c>
      <c r="B96" s="4">
        <v>26</v>
      </c>
      <c r="C96" s="1">
        <v>26</v>
      </c>
      <c r="D96" s="3">
        <v>26</v>
      </c>
      <c r="E96" s="3" t="s">
        <v>5</v>
      </c>
      <c r="F96" s="3" t="s">
        <v>5</v>
      </c>
      <c r="G96" s="3" t="s">
        <v>5</v>
      </c>
      <c r="H96" s="3" t="s">
        <v>5</v>
      </c>
      <c r="I96" s="3" t="s">
        <v>5</v>
      </c>
      <c r="J96" s="3" t="s">
        <v>5</v>
      </c>
      <c r="K96" s="3" t="s">
        <v>5</v>
      </c>
      <c r="L96" s="3" t="s">
        <v>5</v>
      </c>
      <c r="M96" s="18"/>
    </row>
    <row r="97" spans="1:13" x14ac:dyDescent="0.25">
      <c r="A97" s="12">
        <f>A$6</f>
        <v>4</v>
      </c>
      <c r="B97" s="3">
        <v>45</v>
      </c>
      <c r="C97" s="3" t="s">
        <v>5</v>
      </c>
      <c r="D97" s="3" t="s">
        <v>5</v>
      </c>
      <c r="E97" s="3" t="s">
        <v>5</v>
      </c>
      <c r="F97" s="3" t="s">
        <v>5</v>
      </c>
      <c r="G97" s="3" t="s">
        <v>5</v>
      </c>
      <c r="H97" s="3" t="s">
        <v>5</v>
      </c>
      <c r="I97" s="3" t="s">
        <v>5</v>
      </c>
      <c r="J97" s="3" t="s">
        <v>5</v>
      </c>
      <c r="K97" s="3" t="s">
        <v>5</v>
      </c>
      <c r="L97" s="3" t="s">
        <v>5</v>
      </c>
      <c r="M97" s="18"/>
    </row>
    <row r="98" spans="1:13" x14ac:dyDescent="0.25">
      <c r="A98" s="12">
        <f>A$7</f>
        <v>5</v>
      </c>
      <c r="B98" s="4">
        <v>7</v>
      </c>
      <c r="C98" s="1">
        <v>7</v>
      </c>
      <c r="D98" s="3" t="s">
        <v>5</v>
      </c>
      <c r="E98" s="3" t="s">
        <v>5</v>
      </c>
      <c r="F98" s="3" t="s">
        <v>5</v>
      </c>
      <c r="G98" s="3" t="s">
        <v>5</v>
      </c>
      <c r="H98" s="3" t="s">
        <v>5</v>
      </c>
      <c r="I98" s="3" t="s">
        <v>5</v>
      </c>
      <c r="J98" s="3" t="s">
        <v>5</v>
      </c>
      <c r="K98" s="3" t="s">
        <v>5</v>
      </c>
      <c r="L98" s="3" t="s">
        <v>5</v>
      </c>
      <c r="M98" s="18"/>
    </row>
    <row r="99" spans="1:13" x14ac:dyDescent="0.25">
      <c r="A99" s="12">
        <f>A$8</f>
        <v>6</v>
      </c>
      <c r="B99" s="3" t="s">
        <v>5</v>
      </c>
      <c r="C99" s="3" t="s">
        <v>5</v>
      </c>
      <c r="D99" s="3" t="s">
        <v>5</v>
      </c>
      <c r="E99" s="3" t="s">
        <v>5</v>
      </c>
      <c r="F99" s="3" t="s">
        <v>5</v>
      </c>
      <c r="G99" s="3" t="s">
        <v>5</v>
      </c>
      <c r="H99" s="3" t="s">
        <v>5</v>
      </c>
      <c r="I99" s="3" t="s">
        <v>5</v>
      </c>
      <c r="J99" s="3" t="s">
        <v>5</v>
      </c>
      <c r="K99" s="3" t="s">
        <v>5</v>
      </c>
      <c r="L99" s="3" t="s">
        <v>5</v>
      </c>
      <c r="M99" s="18"/>
    </row>
    <row r="103" spans="1:13" x14ac:dyDescent="0.25">
      <c r="M103" s="19"/>
    </row>
    <row r="104" spans="1:13" x14ac:dyDescent="0.25">
      <c r="M104" s="19"/>
    </row>
    <row r="105" spans="1:13" x14ac:dyDescent="0.25">
      <c r="M105" s="19"/>
    </row>
    <row r="106" spans="1:13" x14ac:dyDescent="0.25">
      <c r="M106" s="27"/>
    </row>
  </sheetData>
  <customSheetViews>
    <customSheetView guid="{F3915676-A7EF-4017-942F-7C19B6817DD9}" scale="70" fitToPage="1" state="hidden" showRuler="0">
      <pane xSplit="1" ySplit="9" topLeftCell="B10" activePane="bottomRight" state="frozen"/>
      <selection pane="bottomRight" activeCell="B3" sqref="B3"/>
      <pageMargins left="0.78740157480314965" right="0.78740157480314965" top="0.78740157480314965" bottom="0.78740157480314965" header="0.39370078740157483" footer="0.39370078740157483"/>
      <printOptions headings="1"/>
      <pageSetup paperSize="8" scale="63" orientation="portrait" r:id="rId1"/>
      <headerFooter alignWithMargins="0">
        <oddHeader>&amp;L&amp;G&amp;RFX2010 Sinteso Quantities Tool</oddHeader>
        <oddFooter>&amp;LBuilding Technologies
Fire Safety &amp; Security Products&amp;R&amp;F
&amp;D</oddFooter>
      </headerFooter>
    </customSheetView>
    <customSheetView guid="{820A86A5-0D40-4A23-B2DF-8DFC823A4E56}" scale="70" showPageBreaks="1" fitToPage="1" showRuler="0">
      <pane xSplit="1" ySplit="9" topLeftCell="B10" activePane="bottomRight" state="frozen"/>
      <selection pane="bottomRight" activeCell="B3" sqref="B3"/>
      <pageMargins left="0.78740157480314965" right="0.78740157480314965" top="0.78740157480314965" bottom="0.78740157480314965" header="0.39370078740157483" footer="0.39370078740157483"/>
      <printOptions headings="1"/>
      <pageSetup paperSize="8" scale="63" orientation="portrait" r:id="rId2"/>
      <headerFooter alignWithMargins="0">
        <oddHeader>&amp;L&amp;G&amp;RFX7210 Cerberus Quantities Tool</oddHeader>
        <oddFooter>&amp;LBuilding Technologies
Fire Safety &amp; Security Products&amp;R&amp;F
&amp;D</oddFooter>
      </headerFooter>
    </customSheetView>
  </customSheetViews>
  <phoneticPr fontId="6" type="noConversion"/>
  <printOptions headings="1"/>
  <pageMargins left="0.78740157480314965" right="0.78740157480314965" top="0.78740157480314965" bottom="0.78740157480314965" header="0.39370078740157483" footer="0.39370078740157483"/>
  <pageSetup paperSize="8" orientation="portrait" r:id="rId3"/>
  <headerFooter alignWithMargins="0">
    <oddHeader>&amp;L&amp;G&amp;RFX2010 Sinteso Quantities Tool</oddHeader>
    <oddFooter>&amp;R&amp;F
&amp;D&amp;LUnrestricted  Building Technologies
Fire Safety &amp; Security Products</oddFooter>
  </headerFooter>
  <legacyDrawingHF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AA11A-0696-4371-AAFA-1E89A0588799}">
  <sheetPr codeName="Tabelle1">
    <outlinePr summaryBelow="0"/>
    <pageSetUpPr autoPageBreaks="0" fitToPage="1"/>
  </sheetPr>
  <dimension ref="A1:AF589"/>
  <sheetViews>
    <sheetView showRuler="0" topLeftCell="A80" zoomScaleNormal="100" zoomScaleSheetLayoutView="75" workbookViewId="0">
      <selection activeCell="B277" sqref="B277"/>
    </sheetView>
  </sheetViews>
  <sheetFormatPr defaultColWidth="9.1796875" defaultRowHeight="12.5" outlineLevelRow="1" x14ac:dyDescent="0.25"/>
  <cols>
    <col min="1" max="1" width="2.7265625" style="42" customWidth="1"/>
    <col min="2" max="2" width="87.81640625" style="42" customWidth="1"/>
    <col min="3" max="18" width="8.7265625" style="42" customWidth="1"/>
    <col min="19" max="19" width="2.7265625" style="42" customWidth="1"/>
    <col min="20" max="20" width="5" style="42" customWidth="1"/>
    <col min="21" max="28" width="11.453125" style="42" hidden="1" customWidth="1"/>
    <col min="29" max="31" width="16.7265625" style="42" hidden="1" customWidth="1"/>
    <col min="32" max="32" width="92.26953125" style="42" hidden="1" customWidth="1"/>
    <col min="33" max="16384" width="9.1796875" style="42"/>
  </cols>
  <sheetData>
    <row r="1" spans="1:30" ht="18" x14ac:dyDescent="0.4">
      <c r="A1" s="41"/>
      <c r="B1" s="41" t="s">
        <v>860</v>
      </c>
    </row>
    <row r="3" spans="1:30" ht="13" x14ac:dyDescent="0.3">
      <c r="B3" s="43" t="s">
        <v>2</v>
      </c>
    </row>
    <row r="4" spans="1:30" x14ac:dyDescent="0.25">
      <c r="B4" s="42" t="s">
        <v>252</v>
      </c>
    </row>
    <row r="5" spans="1:30" x14ac:dyDescent="0.25">
      <c r="B5" s="44" t="s">
        <v>253</v>
      </c>
    </row>
    <row r="6" spans="1:30" x14ac:dyDescent="0.25">
      <c r="B6" s="44" t="s">
        <v>552</v>
      </c>
    </row>
    <row r="7" spans="1:30" x14ac:dyDescent="0.25">
      <c r="B7" s="44"/>
      <c r="AD7" s="45"/>
    </row>
    <row r="8" spans="1:30" hidden="1" x14ac:dyDescent="0.25">
      <c r="B8" s="44"/>
    </row>
    <row r="10" spans="1:30" ht="13" x14ac:dyDescent="0.3">
      <c r="B10" s="43" t="s">
        <v>1</v>
      </c>
    </row>
    <row r="11" spans="1:30" x14ac:dyDescent="0.25">
      <c r="B11" s="46"/>
    </row>
    <row r="12" spans="1:30" x14ac:dyDescent="0.25">
      <c r="B12" s="47" t="s">
        <v>850</v>
      </c>
    </row>
    <row r="13" spans="1:30" x14ac:dyDescent="0.25">
      <c r="B13" s="47" t="s">
        <v>952</v>
      </c>
    </row>
    <row r="14" spans="1:30" x14ac:dyDescent="0.25">
      <c r="B14" s="47" t="s">
        <v>851</v>
      </c>
    </row>
    <row r="15" spans="1:30" x14ac:dyDescent="0.25">
      <c r="B15" s="47" t="s">
        <v>852</v>
      </c>
    </row>
    <row r="16" spans="1:30" x14ac:dyDescent="0.25">
      <c r="B16" s="652" t="s">
        <v>853</v>
      </c>
    </row>
    <row r="17" spans="2:14" x14ac:dyDescent="0.25">
      <c r="B17" s="653" t="s">
        <v>854</v>
      </c>
    </row>
    <row r="18" spans="2:14" x14ac:dyDescent="0.25">
      <c r="B18" s="653" t="s">
        <v>855</v>
      </c>
    </row>
    <row r="19" spans="2:14" x14ac:dyDescent="0.25">
      <c r="B19" s="652" t="s">
        <v>953</v>
      </c>
    </row>
    <row r="20" spans="2:14" x14ac:dyDescent="0.25">
      <c r="B20" s="652" t="s">
        <v>856</v>
      </c>
    </row>
    <row r="21" spans="2:14" x14ac:dyDescent="0.25">
      <c r="B21" s="652" t="s">
        <v>857</v>
      </c>
      <c r="C21" s="44"/>
    </row>
    <row r="22" spans="2:14" ht="13" x14ac:dyDescent="0.3">
      <c r="B22" s="652" t="s">
        <v>858</v>
      </c>
      <c r="N22" s="43"/>
    </row>
    <row r="23" spans="2:14" ht="13" x14ac:dyDescent="0.3">
      <c r="B23" s="653" t="s">
        <v>859</v>
      </c>
      <c r="N23" s="43"/>
    </row>
    <row r="24" spans="2:14" x14ac:dyDescent="0.25">
      <c r="B24" s="44" t="s">
        <v>861</v>
      </c>
    </row>
    <row r="25" spans="2:14" x14ac:dyDescent="0.25">
      <c r="B25" s="44"/>
      <c r="L25" s="49"/>
      <c r="N25" s="50"/>
    </row>
    <row r="26" spans="2:14" hidden="1" x14ac:dyDescent="0.25">
      <c r="B26" s="47"/>
      <c r="N26" s="50"/>
    </row>
    <row r="27" spans="2:14" hidden="1" x14ac:dyDescent="0.25">
      <c r="B27" s="47"/>
      <c r="C27" s="47"/>
      <c r="N27" s="50"/>
    </row>
    <row r="28" spans="2:14" hidden="1" x14ac:dyDescent="0.25">
      <c r="B28" s="47"/>
      <c r="N28" s="50"/>
    </row>
    <row r="29" spans="2:14" hidden="1" x14ac:dyDescent="0.25">
      <c r="B29" s="44"/>
      <c r="N29" s="50"/>
    </row>
    <row r="30" spans="2:14" hidden="1" x14ac:dyDescent="0.25">
      <c r="B30" s="44"/>
      <c r="N30" s="50"/>
    </row>
    <row r="31" spans="2:14" x14ac:dyDescent="0.25">
      <c r="N31" s="50"/>
    </row>
    <row r="32" spans="2:14" ht="13" x14ac:dyDescent="0.3">
      <c r="B32" s="43" t="s">
        <v>3</v>
      </c>
      <c r="N32" s="50"/>
    </row>
    <row r="33" spans="1:21" x14ac:dyDescent="0.25">
      <c r="B33" s="50" t="s">
        <v>556</v>
      </c>
      <c r="N33" s="50"/>
    </row>
    <row r="34" spans="1:21" ht="13" x14ac:dyDescent="0.3">
      <c r="B34" s="43"/>
      <c r="N34" s="50"/>
    </row>
    <row r="35" spans="1:21" ht="13" x14ac:dyDescent="0.3">
      <c r="B35" s="51" t="s">
        <v>557</v>
      </c>
      <c r="C35" s="52"/>
      <c r="N35" s="50"/>
    </row>
    <row r="36" spans="1:21" ht="13" x14ac:dyDescent="0.3">
      <c r="B36" s="53" t="s">
        <v>558</v>
      </c>
      <c r="C36" s="54"/>
      <c r="N36" s="50"/>
    </row>
    <row r="37" spans="1:21" x14ac:dyDescent="0.25">
      <c r="B37" s="55" t="s">
        <v>559</v>
      </c>
      <c r="C37" s="54"/>
      <c r="N37" s="50"/>
    </row>
    <row r="38" spans="1:21" x14ac:dyDescent="0.25">
      <c r="B38" s="56" t="s">
        <v>560</v>
      </c>
      <c r="C38" s="54"/>
      <c r="N38" s="50"/>
    </row>
    <row r="39" spans="1:21" x14ac:dyDescent="0.25">
      <c r="N39" s="50"/>
    </row>
    <row r="40" spans="1:21" x14ac:dyDescent="0.25">
      <c r="N40" s="50"/>
    </row>
    <row r="41" spans="1:21" x14ac:dyDescent="0.25">
      <c r="N41" s="50"/>
    </row>
    <row r="42" spans="1:21" x14ac:dyDescent="0.25">
      <c r="N42" s="50"/>
    </row>
    <row r="43" spans="1:21" x14ac:dyDescent="0.25">
      <c r="N43" s="50"/>
    </row>
    <row r="44" spans="1:21" x14ac:dyDescent="0.25">
      <c r="B44" s="57"/>
      <c r="C44" s="54"/>
      <c r="N44" s="50"/>
    </row>
    <row r="45" spans="1:21" ht="13" thickBot="1" x14ac:dyDescent="0.3">
      <c r="B45" s="58"/>
    </row>
    <row r="46" spans="1:21" ht="16" thickBot="1" x14ac:dyDescent="0.4">
      <c r="A46" s="706" t="s">
        <v>254</v>
      </c>
      <c r="B46" s="707"/>
      <c r="C46" s="707"/>
      <c r="D46" s="707"/>
      <c r="E46" s="707"/>
      <c r="F46" s="707"/>
      <c r="G46" s="707"/>
      <c r="H46" s="707"/>
      <c r="I46" s="707"/>
      <c r="J46" s="707"/>
      <c r="K46" s="707"/>
      <c r="L46" s="707"/>
      <c r="M46" s="707"/>
      <c r="N46" s="707"/>
      <c r="O46" s="707"/>
      <c r="P46" s="707"/>
      <c r="Q46" s="707"/>
      <c r="R46" s="707"/>
      <c r="S46" s="708"/>
    </row>
    <row r="47" spans="1:21" x14ac:dyDescent="0.25">
      <c r="A47" s="59"/>
      <c r="B47" s="60"/>
      <c r="S47" s="61"/>
    </row>
    <row r="48" spans="1:21" s="66" customFormat="1" ht="13" hidden="1" x14ac:dyDescent="0.3">
      <c r="A48" s="62"/>
      <c r="B48" s="63" t="s">
        <v>37</v>
      </c>
      <c r="C48" s="63"/>
      <c r="D48" s="63"/>
      <c r="E48" s="63"/>
      <c r="F48" s="64"/>
      <c r="G48" s="64"/>
      <c r="H48" s="64"/>
      <c r="I48" s="64"/>
      <c r="J48" s="64"/>
      <c r="K48" s="64"/>
      <c r="L48" s="64"/>
      <c r="M48" s="64"/>
      <c r="N48" s="64"/>
      <c r="O48" s="64"/>
      <c r="P48" s="64"/>
      <c r="Q48" s="64"/>
      <c r="R48" s="64"/>
      <c r="S48" s="65"/>
      <c r="U48" s="43" t="s">
        <v>136</v>
      </c>
    </row>
    <row r="49" spans="1:21" s="66" customFormat="1" ht="13" hidden="1" x14ac:dyDescent="0.3">
      <c r="A49" s="62"/>
      <c r="B49" s="67"/>
      <c r="C49" s="64"/>
      <c r="D49" s="68"/>
      <c r="E49" s="64"/>
      <c r="F49" s="64"/>
      <c r="G49" s="64"/>
      <c r="H49" s="69"/>
      <c r="I49" s="64"/>
      <c r="J49" s="64"/>
      <c r="K49" s="64"/>
      <c r="L49" s="70"/>
      <c r="M49" s="64"/>
      <c r="N49" s="64"/>
      <c r="O49" s="64"/>
      <c r="P49" s="70"/>
      <c r="Q49" s="64"/>
      <c r="R49" s="64"/>
      <c r="S49" s="65"/>
      <c r="U49" s="71" t="s">
        <v>561</v>
      </c>
    </row>
    <row r="50" spans="1:21" s="66" customFormat="1" ht="13" hidden="1" x14ac:dyDescent="0.3">
      <c r="A50" s="62"/>
      <c r="B50" s="72"/>
      <c r="C50" s="73" t="s">
        <v>562</v>
      </c>
      <c r="D50" s="74"/>
      <c r="E50" s="64"/>
      <c r="F50" s="64"/>
      <c r="G50" s="73" t="s">
        <v>562</v>
      </c>
      <c r="H50" s="74"/>
      <c r="I50" s="64"/>
      <c r="J50" s="64"/>
      <c r="K50" s="73" t="s">
        <v>562</v>
      </c>
      <c r="L50" s="659"/>
      <c r="M50" s="64"/>
      <c r="N50" s="64"/>
      <c r="O50" s="73" t="s">
        <v>562</v>
      </c>
      <c r="P50" s="659"/>
      <c r="Q50" s="64"/>
      <c r="R50" s="64"/>
      <c r="S50" s="65"/>
      <c r="U50" s="71" t="s">
        <v>563</v>
      </c>
    </row>
    <row r="51" spans="1:21" s="66" customFormat="1" ht="13" hidden="1" x14ac:dyDescent="0.3">
      <c r="A51" s="62"/>
      <c r="B51" s="75"/>
      <c r="C51" s="76" t="s">
        <v>965</v>
      </c>
      <c r="D51" s="64"/>
      <c r="E51" s="64"/>
      <c r="F51" s="64"/>
      <c r="G51" s="76" t="s">
        <v>965</v>
      </c>
      <c r="H51" s="659"/>
      <c r="I51" s="64"/>
      <c r="J51" s="659"/>
      <c r="K51" s="76" t="s">
        <v>965</v>
      </c>
      <c r="L51" s="659"/>
      <c r="M51" s="64"/>
      <c r="N51" s="659"/>
      <c r="O51" s="76" t="s">
        <v>965</v>
      </c>
      <c r="P51" s="659"/>
      <c r="Q51" s="64"/>
      <c r="R51" s="64"/>
      <c r="S51" s="65"/>
      <c r="U51" s="71" t="s">
        <v>564</v>
      </c>
    </row>
    <row r="52" spans="1:21" s="66" customFormat="1" ht="13" hidden="1" x14ac:dyDescent="0.3">
      <c r="A52" s="62"/>
      <c r="B52" s="75"/>
      <c r="C52" s="77"/>
      <c r="D52" s="77"/>
      <c r="E52" s="77"/>
      <c r="F52" s="77"/>
      <c r="G52" s="77"/>
      <c r="H52" s="77"/>
      <c r="I52" s="77"/>
      <c r="J52" s="77"/>
      <c r="K52" s="77"/>
      <c r="L52" s="77"/>
      <c r="M52" s="77"/>
      <c r="N52" s="77"/>
      <c r="O52" s="77"/>
      <c r="P52" s="77"/>
      <c r="Q52" s="77"/>
      <c r="R52" s="77"/>
      <c r="S52" s="65"/>
      <c r="U52" s="71" t="s">
        <v>565</v>
      </c>
    </row>
    <row r="53" spans="1:21" s="66" customFormat="1" ht="13" hidden="1" x14ac:dyDescent="0.3">
      <c r="A53" s="62"/>
      <c r="B53" s="75"/>
      <c r="C53" s="78" t="s">
        <v>566</v>
      </c>
      <c r="D53" s="79"/>
      <c r="E53" s="78" t="s">
        <v>567</v>
      </c>
      <c r="F53" s="79"/>
      <c r="G53" s="78" t="s">
        <v>568</v>
      </c>
      <c r="H53" s="80"/>
      <c r="I53" s="78" t="s">
        <v>569</v>
      </c>
      <c r="J53" s="80"/>
      <c r="K53" s="78" t="s">
        <v>570</v>
      </c>
      <c r="L53" s="658"/>
      <c r="M53" s="78" t="s">
        <v>571</v>
      </c>
      <c r="N53" s="77"/>
      <c r="O53" s="78" t="s">
        <v>572</v>
      </c>
      <c r="P53" s="658"/>
      <c r="Q53" s="78" t="s">
        <v>573</v>
      </c>
      <c r="R53" s="77"/>
      <c r="S53" s="65"/>
      <c r="U53" s="66" t="s">
        <v>574</v>
      </c>
    </row>
    <row r="54" spans="1:21" s="66" customFormat="1" ht="13" hidden="1" x14ac:dyDescent="0.3">
      <c r="A54" s="62"/>
      <c r="B54" s="75"/>
      <c r="C54" s="81" t="b">
        <v>1</v>
      </c>
      <c r="D54" s="82"/>
      <c r="E54" s="83" t="b">
        <v>1</v>
      </c>
      <c r="F54" s="82"/>
      <c r="G54" s="81" t="b">
        <v>1</v>
      </c>
      <c r="H54" s="82"/>
      <c r="I54" s="83" t="b">
        <v>1</v>
      </c>
      <c r="J54" s="82"/>
      <c r="K54" s="83" t="b">
        <v>1</v>
      </c>
      <c r="L54" s="658"/>
      <c r="M54" s="83" t="b">
        <v>1</v>
      </c>
      <c r="N54" s="658"/>
      <c r="O54" s="83" t="b">
        <v>1</v>
      </c>
      <c r="P54" s="658"/>
      <c r="Q54" s="83" t="b">
        <v>1</v>
      </c>
      <c r="R54" s="77"/>
      <c r="S54" s="65"/>
      <c r="U54" s="66" t="s">
        <v>575</v>
      </c>
    </row>
    <row r="55" spans="1:21" s="66" customFormat="1" ht="13" hidden="1" x14ac:dyDescent="0.3">
      <c r="A55" s="62"/>
      <c r="B55" s="75"/>
      <c r="C55" s="77"/>
      <c r="D55" s="77"/>
      <c r="E55" s="77"/>
      <c r="F55" s="77"/>
      <c r="G55" s="77"/>
      <c r="H55" s="77"/>
      <c r="I55" s="77"/>
      <c r="J55" s="77"/>
      <c r="K55" s="77"/>
      <c r="L55" s="77"/>
      <c r="M55" s="77"/>
      <c r="N55" s="77"/>
      <c r="O55" s="77"/>
      <c r="P55" s="77"/>
      <c r="Q55" s="77"/>
      <c r="R55" s="78"/>
      <c r="S55" s="65"/>
      <c r="U55" s="66" t="s">
        <v>576</v>
      </c>
    </row>
    <row r="56" spans="1:21" s="66" customFormat="1" ht="13" hidden="1" x14ac:dyDescent="0.3">
      <c r="A56" s="62"/>
      <c r="B56" s="78" t="s">
        <v>577</v>
      </c>
      <c r="C56" s="77"/>
      <c r="D56" s="77"/>
      <c r="E56" s="77"/>
      <c r="F56" s="77"/>
      <c r="G56" s="77"/>
      <c r="H56" s="77"/>
      <c r="I56" s="77"/>
      <c r="J56" s="77"/>
      <c r="K56" s="77"/>
      <c r="L56" s="77"/>
      <c r="M56" s="77"/>
      <c r="N56" s="77"/>
      <c r="O56" s="77"/>
      <c r="P56" s="77"/>
      <c r="Q56" s="77"/>
      <c r="R56" s="658"/>
      <c r="S56" s="65"/>
      <c r="U56" s="66" t="s">
        <v>578</v>
      </c>
    </row>
    <row r="57" spans="1:21" s="66" customFormat="1" ht="13" hidden="1" x14ac:dyDescent="0.3">
      <c r="A57" s="62"/>
      <c r="B57" s="83">
        <v>1</v>
      </c>
      <c r="C57" s="64" t="s">
        <v>579</v>
      </c>
      <c r="D57" s="659"/>
      <c r="E57" s="64"/>
      <c r="F57" s="64"/>
      <c r="G57" s="64"/>
      <c r="H57" s="659"/>
      <c r="I57" s="64"/>
      <c r="J57" s="659"/>
      <c r="K57" s="64"/>
      <c r="L57" s="659"/>
      <c r="M57" s="64"/>
      <c r="N57" s="659"/>
      <c r="O57" s="64"/>
      <c r="P57" s="659"/>
      <c r="Q57" s="64"/>
      <c r="R57" s="64"/>
      <c r="S57" s="65"/>
      <c r="U57" s="66" t="s">
        <v>580</v>
      </c>
    </row>
    <row r="58" spans="1:21" s="66" customFormat="1" ht="13" hidden="1" x14ac:dyDescent="0.3">
      <c r="A58" s="62"/>
      <c r="B58" s="70"/>
      <c r="C58" s="64"/>
      <c r="D58" s="64"/>
      <c r="E58" s="64"/>
      <c r="F58" s="64"/>
      <c r="G58" s="64"/>
      <c r="H58" s="64"/>
      <c r="I58" s="64"/>
      <c r="J58" s="659"/>
      <c r="K58" s="64"/>
      <c r="L58" s="659"/>
      <c r="M58" s="64"/>
      <c r="N58" s="659"/>
      <c r="O58" s="64"/>
      <c r="P58" s="659"/>
      <c r="Q58" s="64"/>
      <c r="R58" s="64"/>
      <c r="S58" s="65"/>
    </row>
    <row r="59" spans="1:21" s="66" customFormat="1" hidden="1" x14ac:dyDescent="0.25">
      <c r="A59" s="62"/>
      <c r="B59" s="74"/>
      <c r="C59" s="64"/>
      <c r="D59" s="64"/>
      <c r="E59" s="64"/>
      <c r="F59" s="64"/>
      <c r="G59" s="64"/>
      <c r="H59" s="64"/>
      <c r="I59" s="64"/>
      <c r="J59" s="659"/>
      <c r="K59" s="64"/>
      <c r="L59" s="659"/>
      <c r="M59" s="64"/>
      <c r="N59" s="659"/>
      <c r="O59" s="64"/>
      <c r="P59" s="659"/>
      <c r="Q59" s="64"/>
      <c r="R59" s="64"/>
      <c r="S59" s="65"/>
    </row>
    <row r="60" spans="1:21" s="66" customFormat="1" hidden="1" x14ac:dyDescent="0.25">
      <c r="A60" s="62"/>
      <c r="B60" s="74"/>
      <c r="C60" s="64"/>
      <c r="D60" s="64"/>
      <c r="E60" s="64"/>
      <c r="F60" s="64"/>
      <c r="G60" s="64"/>
      <c r="H60" s="64"/>
      <c r="I60" s="64"/>
      <c r="J60" s="659"/>
      <c r="K60" s="64"/>
      <c r="L60" s="659"/>
      <c r="M60" s="64"/>
      <c r="N60" s="659"/>
      <c r="O60" s="64"/>
      <c r="P60" s="659"/>
      <c r="Q60" s="64"/>
      <c r="R60" s="64"/>
      <c r="S60" s="65"/>
    </row>
    <row r="61" spans="1:21" s="66" customFormat="1" ht="39.75" customHeight="1" x14ac:dyDescent="0.25">
      <c r="A61" s="84"/>
      <c r="B61" s="85" t="s">
        <v>581</v>
      </c>
      <c r="J61" s="86"/>
      <c r="N61" s="86"/>
      <c r="S61" s="87"/>
    </row>
    <row r="62" spans="1:21" s="66" customFormat="1" ht="13" hidden="1" x14ac:dyDescent="0.3">
      <c r="A62" s="62"/>
      <c r="B62" s="70" t="s">
        <v>582</v>
      </c>
      <c r="C62" s="64"/>
      <c r="D62" s="64"/>
      <c r="E62" s="64"/>
      <c r="F62" s="64"/>
      <c r="G62" s="64"/>
      <c r="H62" s="64"/>
      <c r="I62" s="64"/>
      <c r="J62" s="659"/>
      <c r="K62" s="64"/>
      <c r="L62" s="659"/>
      <c r="M62" s="64"/>
      <c r="N62" s="659"/>
      <c r="O62" s="64"/>
      <c r="P62" s="659"/>
      <c r="Q62" s="64"/>
      <c r="R62" s="64"/>
      <c r="S62" s="65"/>
    </row>
    <row r="63" spans="1:21" s="66" customFormat="1" hidden="1" x14ac:dyDescent="0.25">
      <c r="A63" s="62"/>
      <c r="B63" s="76" t="s">
        <v>959</v>
      </c>
      <c r="C63" s="64" t="s">
        <v>582</v>
      </c>
      <c r="D63" s="64"/>
      <c r="E63" s="64"/>
      <c r="F63" s="64"/>
      <c r="G63" s="64"/>
      <c r="H63" s="64"/>
      <c r="I63" s="64"/>
      <c r="J63" s="659"/>
      <c r="K63" s="64"/>
      <c r="L63" s="659"/>
      <c r="M63" s="64"/>
      <c r="N63" s="659"/>
      <c r="O63" s="64"/>
      <c r="P63" s="659"/>
      <c r="Q63" s="64"/>
      <c r="R63" s="64"/>
      <c r="S63" s="65"/>
    </row>
    <row r="64" spans="1:21" s="66" customFormat="1" hidden="1" x14ac:dyDescent="0.25">
      <c r="A64" s="62"/>
      <c r="B64" s="88">
        <v>5.3333333333333332E-3</v>
      </c>
      <c r="C64" s="64" t="s">
        <v>583</v>
      </c>
      <c r="D64" s="64"/>
      <c r="E64" s="64"/>
      <c r="F64" s="64"/>
      <c r="G64" s="64"/>
      <c r="H64" s="64"/>
      <c r="I64" s="64"/>
      <c r="J64" s="659"/>
      <c r="K64" s="64"/>
      <c r="L64" s="659"/>
      <c r="M64" s="64"/>
      <c r="N64" s="659"/>
      <c r="O64" s="64"/>
      <c r="P64" s="659"/>
      <c r="Q64" s="64"/>
      <c r="R64" s="64"/>
      <c r="S64" s="65"/>
    </row>
    <row r="65" spans="1:32" s="66" customFormat="1" hidden="1" x14ac:dyDescent="0.25">
      <c r="A65" s="62"/>
      <c r="B65" s="76">
        <v>4.0000000000000002E-4</v>
      </c>
      <c r="C65" s="64" t="s">
        <v>584</v>
      </c>
      <c r="D65" s="64"/>
      <c r="E65" s="64"/>
      <c r="F65" s="64"/>
      <c r="G65" s="64"/>
      <c r="H65" s="659"/>
      <c r="I65" s="64"/>
      <c r="J65" s="659"/>
      <c r="K65" s="64"/>
      <c r="L65" s="659"/>
      <c r="M65" s="64"/>
      <c r="N65" s="659"/>
      <c r="O65" s="64"/>
      <c r="P65" s="659"/>
      <c r="Q65" s="64"/>
      <c r="R65" s="64"/>
      <c r="S65" s="65"/>
    </row>
    <row r="66" spans="1:32" s="66" customFormat="1" hidden="1" x14ac:dyDescent="0.25">
      <c r="A66" s="62"/>
      <c r="B66" s="74"/>
      <c r="C66" s="64"/>
      <c r="D66" s="64"/>
      <c r="E66" s="64"/>
      <c r="F66" s="64"/>
      <c r="G66" s="64"/>
      <c r="H66" s="659"/>
      <c r="I66" s="64"/>
      <c r="J66" s="659"/>
      <c r="K66" s="64"/>
      <c r="L66" s="659"/>
      <c r="M66" s="64"/>
      <c r="N66" s="659"/>
      <c r="O66" s="64"/>
      <c r="P66" s="659"/>
      <c r="Q66" s="64"/>
      <c r="R66" s="64"/>
      <c r="S66" s="65"/>
    </row>
    <row r="67" spans="1:32" s="66" customFormat="1" hidden="1" x14ac:dyDescent="0.25">
      <c r="A67" s="62"/>
      <c r="B67" s="74"/>
      <c r="C67" s="64"/>
      <c r="D67" s="64"/>
      <c r="E67" s="64"/>
      <c r="F67" s="64"/>
      <c r="G67" s="64"/>
      <c r="H67" s="659"/>
      <c r="I67" s="64"/>
      <c r="J67" s="659"/>
      <c r="K67" s="64"/>
      <c r="L67" s="659"/>
      <c r="M67" s="64"/>
      <c r="N67" s="659"/>
      <c r="O67" s="64"/>
      <c r="P67" s="659"/>
      <c r="Q67" s="64"/>
      <c r="R67" s="64"/>
      <c r="S67" s="65"/>
    </row>
    <row r="68" spans="1:32" s="66" customFormat="1" ht="39.75" hidden="1" customHeight="1" x14ac:dyDescent="0.25">
      <c r="A68" s="62"/>
      <c r="B68" s="89" t="s">
        <v>585</v>
      </c>
      <c r="C68" s="64"/>
      <c r="D68" s="64"/>
      <c r="E68" s="64"/>
      <c r="F68" s="64"/>
      <c r="G68" s="64"/>
      <c r="H68" s="659"/>
      <c r="I68" s="64"/>
      <c r="J68" s="659"/>
      <c r="K68" s="64"/>
      <c r="L68" s="659"/>
      <c r="M68" s="64"/>
      <c r="N68" s="659"/>
      <c r="O68" s="64"/>
      <c r="P68" s="659"/>
      <c r="Q68" s="64"/>
      <c r="R68" s="64"/>
      <c r="S68" s="65"/>
    </row>
    <row r="69" spans="1:32" s="66" customFormat="1" ht="13" hidden="1" x14ac:dyDescent="0.3">
      <c r="A69" s="62"/>
      <c r="B69" s="78" t="s">
        <v>586</v>
      </c>
      <c r="C69" s="64"/>
      <c r="D69" s="64"/>
      <c r="E69" s="64"/>
      <c r="F69" s="659"/>
      <c r="G69" s="64"/>
      <c r="H69" s="659"/>
      <c r="I69" s="64"/>
      <c r="J69" s="659"/>
      <c r="K69" s="64"/>
      <c r="L69" s="659"/>
      <c r="M69" s="64"/>
      <c r="N69" s="659"/>
      <c r="O69" s="64"/>
      <c r="P69" s="659"/>
      <c r="Q69" s="64"/>
      <c r="R69" s="64"/>
      <c r="S69" s="65"/>
    </row>
    <row r="70" spans="1:32" s="66" customFormat="1" hidden="1" x14ac:dyDescent="0.25">
      <c r="A70" s="62"/>
      <c r="B70" s="83" t="s">
        <v>960</v>
      </c>
      <c r="C70" s="64" t="s">
        <v>587</v>
      </c>
      <c r="D70" s="64"/>
      <c r="E70" s="64"/>
      <c r="F70" s="659"/>
      <c r="G70" s="64"/>
      <c r="H70" s="659"/>
      <c r="I70" s="64"/>
      <c r="J70" s="659"/>
      <c r="K70" s="64"/>
      <c r="L70" s="659"/>
      <c r="M70" s="64"/>
      <c r="N70" s="659"/>
      <c r="O70" s="64"/>
      <c r="P70" s="659"/>
      <c r="Q70" s="64"/>
      <c r="R70" s="64"/>
      <c r="S70" s="65"/>
    </row>
    <row r="71" spans="1:32" s="66" customFormat="1" hidden="1" x14ac:dyDescent="0.25">
      <c r="A71" s="62"/>
      <c r="B71" s="74"/>
      <c r="C71" s="64"/>
      <c r="D71" s="64"/>
      <c r="E71" s="64"/>
      <c r="F71" s="659"/>
      <c r="G71" s="64"/>
      <c r="H71" s="659"/>
      <c r="I71" s="64"/>
      <c r="J71" s="659"/>
      <c r="K71" s="64"/>
      <c r="L71" s="659"/>
      <c r="M71" s="64"/>
      <c r="N71" s="659"/>
      <c r="O71" s="64"/>
      <c r="P71" s="659"/>
      <c r="Q71" s="64"/>
      <c r="R71" s="64"/>
      <c r="S71" s="65"/>
    </row>
    <row r="72" spans="1:32" s="66" customFormat="1" hidden="1" x14ac:dyDescent="0.25">
      <c r="A72" s="62"/>
      <c r="B72" s="74"/>
      <c r="C72" s="64"/>
      <c r="D72" s="659"/>
      <c r="E72" s="64"/>
      <c r="F72" s="659"/>
      <c r="G72" s="64"/>
      <c r="H72" s="659"/>
      <c r="I72" s="64"/>
      <c r="J72" s="659"/>
      <c r="K72" s="64"/>
      <c r="L72" s="659"/>
      <c r="M72" s="64"/>
      <c r="N72" s="659"/>
      <c r="O72" s="64"/>
      <c r="P72" s="659"/>
      <c r="Q72" s="64"/>
      <c r="R72" s="64"/>
      <c r="S72" s="65"/>
    </row>
    <row r="73" spans="1:32" s="66" customFormat="1" ht="39.75" customHeight="1" thickBot="1" x14ac:dyDescent="0.3">
      <c r="A73" s="84"/>
      <c r="B73" s="86"/>
      <c r="D73" s="86"/>
      <c r="F73" s="86"/>
      <c r="H73" s="86"/>
      <c r="J73" s="86"/>
      <c r="L73" s="86"/>
      <c r="N73" s="86"/>
      <c r="P73" s="86"/>
      <c r="S73" s="87"/>
    </row>
    <row r="74" spans="1:32" s="66" customFormat="1" ht="13" hidden="1" x14ac:dyDescent="0.3">
      <c r="A74" s="62"/>
      <c r="B74" s="70" t="s">
        <v>588</v>
      </c>
      <c r="C74" s="64"/>
      <c r="D74" s="659"/>
      <c r="E74" s="64"/>
      <c r="F74" s="64"/>
      <c r="G74" s="64"/>
      <c r="H74" s="659"/>
      <c r="I74" s="64"/>
      <c r="J74" s="659"/>
      <c r="K74" s="64"/>
      <c r="L74" s="659"/>
      <c r="M74" s="64"/>
      <c r="N74" s="659"/>
      <c r="O74" s="64"/>
      <c r="P74" s="659"/>
      <c r="Q74" s="64"/>
      <c r="R74" s="64"/>
      <c r="S74" s="65"/>
    </row>
    <row r="75" spans="1:32" s="66" customFormat="1" ht="13" hidden="1" x14ac:dyDescent="0.25">
      <c r="A75" s="62"/>
      <c r="B75" s="76" t="b">
        <v>1</v>
      </c>
      <c r="C75" s="64"/>
      <c r="D75" s="659"/>
      <c r="E75" s="64"/>
      <c r="F75" s="64"/>
      <c r="G75" s="64"/>
      <c r="H75" s="659"/>
      <c r="I75" s="64"/>
      <c r="J75" s="659"/>
      <c r="K75" s="64"/>
      <c r="L75" s="659"/>
      <c r="M75" s="64"/>
      <c r="N75" s="659"/>
      <c r="O75" s="64"/>
      <c r="P75" s="659"/>
      <c r="Q75" s="64"/>
      <c r="R75" s="64"/>
      <c r="S75" s="65"/>
      <c r="U75" s="90"/>
      <c r="V75" s="90"/>
      <c r="W75" s="90"/>
      <c r="X75" s="90"/>
      <c r="Y75" s="91"/>
      <c r="Z75" s="91"/>
      <c r="AA75" s="91"/>
      <c r="AB75" s="91"/>
      <c r="AC75" s="91"/>
    </row>
    <row r="76" spans="1:32" s="66" customFormat="1" ht="13" hidden="1" x14ac:dyDescent="0.3">
      <c r="A76" s="62"/>
      <c r="B76" s="70" t="s">
        <v>589</v>
      </c>
      <c r="C76" s="64"/>
      <c r="D76" s="659"/>
      <c r="E76" s="64"/>
      <c r="F76" s="64"/>
      <c r="G76" s="64"/>
      <c r="H76" s="659"/>
      <c r="I76" s="64"/>
      <c r="J76" s="659"/>
      <c r="K76" s="64"/>
      <c r="L76" s="659"/>
      <c r="M76" s="64"/>
      <c r="N76" s="659"/>
      <c r="O76" s="64"/>
      <c r="P76" s="659"/>
      <c r="Q76" s="64"/>
      <c r="R76" s="64"/>
      <c r="S76" s="65"/>
      <c r="U76" s="90"/>
    </row>
    <row r="77" spans="1:32" s="66" customFormat="1" ht="13" hidden="1" x14ac:dyDescent="0.25">
      <c r="A77" s="62"/>
      <c r="B77" s="76" t="b">
        <v>1</v>
      </c>
      <c r="C77" s="64"/>
      <c r="D77" s="659"/>
      <c r="E77" s="64"/>
      <c r="F77" s="64"/>
      <c r="G77" s="64"/>
      <c r="H77" s="659"/>
      <c r="I77" s="64"/>
      <c r="J77" s="659"/>
      <c r="K77" s="64"/>
      <c r="L77" s="659"/>
      <c r="M77" s="64"/>
      <c r="N77" s="659"/>
      <c r="O77" s="64"/>
      <c r="P77" s="659"/>
      <c r="Q77" s="64"/>
      <c r="R77" s="64"/>
      <c r="S77" s="65"/>
      <c r="AA77" s="90"/>
      <c r="AB77" s="90"/>
      <c r="AC77" s="91"/>
      <c r="AD77" s="91"/>
      <c r="AE77" s="91"/>
      <c r="AF77" s="92"/>
    </row>
    <row r="78" spans="1:32" s="66" customFormat="1" ht="13" hidden="1" x14ac:dyDescent="0.3">
      <c r="A78" s="62"/>
      <c r="B78" s="78" t="s">
        <v>590</v>
      </c>
      <c r="C78" s="64"/>
      <c r="D78" s="659"/>
      <c r="E78" s="64"/>
      <c r="F78" s="64"/>
      <c r="G78" s="64"/>
      <c r="H78" s="659"/>
      <c r="I78" s="64"/>
      <c r="J78" s="659"/>
      <c r="K78" s="64"/>
      <c r="L78" s="659"/>
      <c r="M78" s="64"/>
      <c r="N78" s="659"/>
      <c r="O78" s="64"/>
      <c r="P78" s="659"/>
      <c r="Q78" s="64"/>
      <c r="R78" s="64"/>
      <c r="S78" s="65"/>
      <c r="AA78" s="42"/>
      <c r="AB78" s="42"/>
      <c r="AC78" s="42"/>
    </row>
    <row r="79" spans="1:32" s="66" customFormat="1" ht="13" hidden="1" thickBot="1" x14ac:dyDescent="0.3">
      <c r="A79" s="62"/>
      <c r="B79" s="81" t="b">
        <v>1</v>
      </c>
      <c r="C79" s="64"/>
      <c r="D79" s="659"/>
      <c r="E79" s="64"/>
      <c r="F79" s="64"/>
      <c r="G79" s="64"/>
      <c r="H79" s="659"/>
      <c r="I79" s="64"/>
      <c r="J79" s="659"/>
      <c r="K79" s="64"/>
      <c r="L79" s="659"/>
      <c r="M79" s="64"/>
      <c r="N79" s="659"/>
      <c r="O79" s="64"/>
      <c r="P79" s="659"/>
      <c r="Q79" s="64"/>
      <c r="R79" s="64"/>
      <c r="S79" s="65"/>
    </row>
    <row r="80" spans="1:32" ht="31.5" customHeight="1" thickBot="1" x14ac:dyDescent="0.3">
      <c r="A80" s="59"/>
      <c r="B80" s="93" t="s">
        <v>801</v>
      </c>
      <c r="C80" s="709" t="s">
        <v>958</v>
      </c>
      <c r="D80" s="710"/>
      <c r="E80" s="710"/>
      <c r="F80" s="710"/>
      <c r="G80" s="710"/>
      <c r="H80" s="710"/>
      <c r="I80" s="710"/>
      <c r="J80" s="710"/>
      <c r="K80" s="710"/>
      <c r="L80" s="710"/>
      <c r="M80" s="710"/>
      <c r="N80" s="710"/>
      <c r="O80" s="710"/>
      <c r="P80" s="710"/>
      <c r="Q80" s="710"/>
      <c r="R80" s="711"/>
      <c r="S80" s="94"/>
      <c r="U80" s="712" t="s">
        <v>276</v>
      </c>
      <c r="V80" s="713"/>
      <c r="W80" s="714"/>
      <c r="X80" s="712" t="s">
        <v>277</v>
      </c>
      <c r="Y80" s="713"/>
      <c r="Z80" s="714"/>
    </row>
    <row r="81" spans="1:32" ht="39.75" customHeight="1" thickBot="1" x14ac:dyDescent="0.3">
      <c r="A81" s="59"/>
      <c r="B81" s="95"/>
      <c r="C81" s="715"/>
      <c r="D81" s="716"/>
      <c r="E81" s="716"/>
      <c r="F81" s="717"/>
      <c r="G81" s="718"/>
      <c r="H81" s="719"/>
      <c r="I81" s="719"/>
      <c r="J81" s="720"/>
      <c r="K81" s="718"/>
      <c r="L81" s="719"/>
      <c r="M81" s="719"/>
      <c r="N81" s="720"/>
      <c r="O81" s="718"/>
      <c r="P81" s="719"/>
      <c r="Q81" s="719"/>
      <c r="R81" s="720"/>
      <c r="S81" s="94"/>
      <c r="U81" s="721" t="s">
        <v>115</v>
      </c>
      <c r="V81" s="723" t="s">
        <v>591</v>
      </c>
      <c r="W81" s="724"/>
      <c r="X81" s="721" t="s">
        <v>115</v>
      </c>
      <c r="Y81" s="723" t="s">
        <v>591</v>
      </c>
      <c r="Z81" s="724"/>
    </row>
    <row r="82" spans="1:32" ht="16.5" customHeight="1" thickBot="1" x14ac:dyDescent="0.35">
      <c r="A82" s="59"/>
      <c r="B82" s="96"/>
      <c r="C82" s="729" t="s">
        <v>963</v>
      </c>
      <c r="D82" s="730"/>
      <c r="E82" s="730" t="s">
        <v>964</v>
      </c>
      <c r="F82" s="731"/>
      <c r="G82" s="729" t="s">
        <v>966</v>
      </c>
      <c r="H82" s="730"/>
      <c r="I82" s="730" t="s">
        <v>967</v>
      </c>
      <c r="J82" s="731"/>
      <c r="K82" s="729" t="s">
        <v>968</v>
      </c>
      <c r="L82" s="730"/>
      <c r="M82" s="730" t="s">
        <v>969</v>
      </c>
      <c r="N82" s="731"/>
      <c r="O82" s="729" t="s">
        <v>970</v>
      </c>
      <c r="P82" s="730"/>
      <c r="Q82" s="730" t="s">
        <v>971</v>
      </c>
      <c r="R82" s="731"/>
      <c r="S82" s="61"/>
      <c r="U82" s="722"/>
      <c r="V82" s="97" t="s">
        <v>592</v>
      </c>
      <c r="W82" s="97" t="s">
        <v>593</v>
      </c>
      <c r="X82" s="722"/>
      <c r="Y82" s="97" t="s">
        <v>592</v>
      </c>
      <c r="Z82" s="97" t="s">
        <v>593</v>
      </c>
      <c r="AA82" s="98" t="s">
        <v>278</v>
      </c>
      <c r="AB82" s="98" t="s">
        <v>279</v>
      </c>
      <c r="AC82" s="99" t="s">
        <v>594</v>
      </c>
      <c r="AD82" s="99" t="s">
        <v>595</v>
      </c>
      <c r="AE82" s="100" t="s">
        <v>596</v>
      </c>
      <c r="AF82" s="101" t="s">
        <v>597</v>
      </c>
    </row>
    <row r="83" spans="1:32" ht="13" collapsed="1" x14ac:dyDescent="0.25">
      <c r="A83" s="59"/>
      <c r="B83" s="102" t="s">
        <v>255</v>
      </c>
      <c r="C83" s="103"/>
      <c r="D83" s="103"/>
      <c r="E83" s="103"/>
      <c r="F83" s="103"/>
      <c r="G83" s="103"/>
      <c r="H83" s="103"/>
      <c r="I83" s="103"/>
      <c r="J83" s="103"/>
      <c r="K83" s="103"/>
      <c r="L83" s="103"/>
      <c r="M83" s="103"/>
      <c r="N83" s="103"/>
      <c r="O83" s="103"/>
      <c r="P83" s="103"/>
      <c r="Q83" s="103"/>
      <c r="R83" s="104"/>
      <c r="S83" s="94"/>
      <c r="U83" s="105"/>
      <c r="V83" s="106" t="s">
        <v>598</v>
      </c>
      <c r="W83" s="107"/>
      <c r="X83" s="105"/>
      <c r="Y83" s="106" t="s">
        <v>599</v>
      </c>
      <c r="Z83" s="107"/>
      <c r="AA83" s="108"/>
      <c r="AB83" s="109"/>
      <c r="AC83" s="109"/>
      <c r="AD83" s="109"/>
      <c r="AE83" s="109"/>
      <c r="AF83" s="110" t="s">
        <v>255</v>
      </c>
    </row>
    <row r="84" spans="1:32" hidden="1" outlineLevel="1" x14ac:dyDescent="0.25">
      <c r="A84" s="59"/>
      <c r="B84" s="111" t="s">
        <v>324</v>
      </c>
      <c r="C84" s="112">
        <v>0</v>
      </c>
      <c r="D84" s="113" t="s">
        <v>147</v>
      </c>
      <c r="E84" s="114">
        <v>0</v>
      </c>
      <c r="F84" s="115" t="s">
        <v>147</v>
      </c>
      <c r="G84" s="112">
        <v>0</v>
      </c>
      <c r="H84" s="113" t="s">
        <v>147</v>
      </c>
      <c r="I84" s="114">
        <v>0</v>
      </c>
      <c r="J84" s="115" t="s">
        <v>147</v>
      </c>
      <c r="K84" s="112">
        <v>0</v>
      </c>
      <c r="L84" s="113" t="s">
        <v>147</v>
      </c>
      <c r="M84" s="114">
        <v>0</v>
      </c>
      <c r="N84" s="115" t="s">
        <v>147</v>
      </c>
      <c r="O84" s="112">
        <v>0</v>
      </c>
      <c r="P84" s="113" t="s">
        <v>147</v>
      </c>
      <c r="Q84" s="114">
        <v>0</v>
      </c>
      <c r="R84" s="115" t="s">
        <v>147</v>
      </c>
      <c r="S84" s="61"/>
      <c r="U84" s="116">
        <f>V84+W84</f>
        <v>1</v>
      </c>
      <c r="V84" s="117">
        <v>1</v>
      </c>
      <c r="W84" s="118">
        <v>0</v>
      </c>
      <c r="X84" s="116">
        <f>Y84+Z84</f>
        <v>1</v>
      </c>
      <c r="Y84" s="117">
        <v>1</v>
      </c>
      <c r="Z84" s="118">
        <v>0</v>
      </c>
      <c r="AA84" s="119">
        <v>1</v>
      </c>
      <c r="AB84" s="117">
        <v>1</v>
      </c>
      <c r="AC84" s="117">
        <v>1</v>
      </c>
      <c r="AD84" s="117">
        <v>0</v>
      </c>
      <c r="AE84" s="117">
        <v>0</v>
      </c>
      <c r="AF84" s="120" t="str">
        <f t="shared" ref="AF84:AF146" si="0">B84</f>
        <v>OP720 - Smoke detector</v>
      </c>
    </row>
    <row r="85" spans="1:32" hidden="1" outlineLevel="1" x14ac:dyDescent="0.25">
      <c r="A85" s="59"/>
      <c r="B85" s="121" t="s">
        <v>325</v>
      </c>
      <c r="C85" s="122">
        <v>0</v>
      </c>
      <c r="D85" s="113" t="s">
        <v>147</v>
      </c>
      <c r="E85" s="123">
        <v>0</v>
      </c>
      <c r="F85" s="115" t="s">
        <v>147</v>
      </c>
      <c r="G85" s="122">
        <v>0</v>
      </c>
      <c r="H85" s="113" t="s">
        <v>147</v>
      </c>
      <c r="I85" s="123">
        <v>0</v>
      </c>
      <c r="J85" s="115" t="s">
        <v>147</v>
      </c>
      <c r="K85" s="122">
        <v>0</v>
      </c>
      <c r="L85" s="113" t="s">
        <v>147</v>
      </c>
      <c r="M85" s="123">
        <v>0</v>
      </c>
      <c r="N85" s="115" t="s">
        <v>147</v>
      </c>
      <c r="O85" s="122">
        <v>0</v>
      </c>
      <c r="P85" s="113" t="s">
        <v>147</v>
      </c>
      <c r="Q85" s="123">
        <v>0</v>
      </c>
      <c r="R85" s="115" t="s">
        <v>147</v>
      </c>
      <c r="S85" s="61"/>
      <c r="U85" s="116">
        <f t="shared" ref="U85:U137" si="1">V85+W85</f>
        <v>1</v>
      </c>
      <c r="V85" s="117">
        <v>1</v>
      </c>
      <c r="W85" s="118">
        <v>0</v>
      </c>
      <c r="X85" s="116">
        <f t="shared" ref="X85:X137" si="2">Y85+Z85</f>
        <v>1</v>
      </c>
      <c r="Y85" s="117">
        <v>1</v>
      </c>
      <c r="Z85" s="118">
        <v>0</v>
      </c>
      <c r="AA85" s="124">
        <v>1</v>
      </c>
      <c r="AB85" s="125">
        <v>1</v>
      </c>
      <c r="AC85" s="125">
        <v>1</v>
      </c>
      <c r="AD85" s="117">
        <v>0</v>
      </c>
      <c r="AE85" s="117">
        <v>0</v>
      </c>
      <c r="AF85" s="126" t="str">
        <f t="shared" si="0"/>
        <v>HI722 - Heat detector</v>
      </c>
    </row>
    <row r="86" spans="1:32" hidden="1" outlineLevel="1" x14ac:dyDescent="0.25">
      <c r="A86" s="59"/>
      <c r="B86" s="121" t="s">
        <v>326</v>
      </c>
      <c r="C86" s="122">
        <v>0</v>
      </c>
      <c r="D86" s="113" t="s">
        <v>147</v>
      </c>
      <c r="E86" s="123">
        <v>0</v>
      </c>
      <c r="F86" s="115" t="s">
        <v>147</v>
      </c>
      <c r="G86" s="122">
        <v>0</v>
      </c>
      <c r="H86" s="113" t="s">
        <v>147</v>
      </c>
      <c r="I86" s="123">
        <v>0</v>
      </c>
      <c r="J86" s="115" t="s">
        <v>147</v>
      </c>
      <c r="K86" s="122">
        <v>0</v>
      </c>
      <c r="L86" s="113" t="s">
        <v>147</v>
      </c>
      <c r="M86" s="123">
        <v>0</v>
      </c>
      <c r="N86" s="115" t="s">
        <v>147</v>
      </c>
      <c r="O86" s="122">
        <v>0</v>
      </c>
      <c r="P86" s="113" t="s">
        <v>147</v>
      </c>
      <c r="Q86" s="123">
        <v>0</v>
      </c>
      <c r="R86" s="115" t="s">
        <v>147</v>
      </c>
      <c r="S86" s="61"/>
      <c r="U86" s="116">
        <f t="shared" si="1"/>
        <v>1</v>
      </c>
      <c r="V86" s="117">
        <v>1</v>
      </c>
      <c r="W86" s="118">
        <v>0</v>
      </c>
      <c r="X86" s="116">
        <f t="shared" si="2"/>
        <v>1</v>
      </c>
      <c r="Y86" s="117">
        <v>1</v>
      </c>
      <c r="Z86" s="118">
        <v>0</v>
      </c>
      <c r="AA86" s="124">
        <v>1</v>
      </c>
      <c r="AB86" s="125">
        <v>1</v>
      </c>
      <c r="AC86" s="125">
        <v>1</v>
      </c>
      <c r="AD86" s="117">
        <v>0</v>
      </c>
      <c r="AE86" s="117">
        <v>0</v>
      </c>
      <c r="AF86" s="126" t="str">
        <f t="shared" si="0"/>
        <v>HI720 - Heat detector</v>
      </c>
    </row>
    <row r="87" spans="1:32" hidden="1" outlineLevel="1" x14ac:dyDescent="0.25">
      <c r="A87" s="59"/>
      <c r="B87" s="121" t="s">
        <v>327</v>
      </c>
      <c r="C87" s="122">
        <v>0</v>
      </c>
      <c r="D87" s="113" t="s">
        <v>147</v>
      </c>
      <c r="E87" s="123">
        <v>0</v>
      </c>
      <c r="F87" s="115" t="s">
        <v>147</v>
      </c>
      <c r="G87" s="122">
        <v>0</v>
      </c>
      <c r="H87" s="113" t="s">
        <v>147</v>
      </c>
      <c r="I87" s="123">
        <v>0</v>
      </c>
      <c r="J87" s="115" t="s">
        <v>147</v>
      </c>
      <c r="K87" s="122">
        <v>0</v>
      </c>
      <c r="L87" s="113" t="s">
        <v>147</v>
      </c>
      <c r="M87" s="123">
        <v>0</v>
      </c>
      <c r="N87" s="115" t="s">
        <v>147</v>
      </c>
      <c r="O87" s="122">
        <v>0</v>
      </c>
      <c r="P87" s="113" t="s">
        <v>147</v>
      </c>
      <c r="Q87" s="123">
        <v>0</v>
      </c>
      <c r="R87" s="115" t="s">
        <v>147</v>
      </c>
      <c r="S87" s="61"/>
      <c r="U87" s="116">
        <f t="shared" si="1"/>
        <v>1</v>
      </c>
      <c r="V87" s="117">
        <v>1</v>
      </c>
      <c r="W87" s="118">
        <v>0</v>
      </c>
      <c r="X87" s="116">
        <f t="shared" si="2"/>
        <v>1</v>
      </c>
      <c r="Y87" s="117">
        <v>1</v>
      </c>
      <c r="Z87" s="118">
        <v>0</v>
      </c>
      <c r="AA87" s="124">
        <v>1</v>
      </c>
      <c r="AB87" s="125">
        <v>1</v>
      </c>
      <c r="AC87" s="125">
        <v>1</v>
      </c>
      <c r="AD87" s="117">
        <v>0</v>
      </c>
      <c r="AE87" s="117">
        <v>0</v>
      </c>
      <c r="AF87" s="126" t="str">
        <f t="shared" si="0"/>
        <v>OH720 - Multi Sensor detector</v>
      </c>
    </row>
    <row r="88" spans="1:32" hidden="1" outlineLevel="1" x14ac:dyDescent="0.25">
      <c r="A88" s="59"/>
      <c r="B88" s="121" t="s">
        <v>600</v>
      </c>
      <c r="C88" s="122">
        <v>0</v>
      </c>
      <c r="D88" s="113" t="s">
        <v>780</v>
      </c>
      <c r="E88" s="123">
        <v>0</v>
      </c>
      <c r="F88" s="115" t="s">
        <v>780</v>
      </c>
      <c r="G88" s="122">
        <v>0</v>
      </c>
      <c r="H88" s="113" t="s">
        <v>147</v>
      </c>
      <c r="I88" s="123">
        <v>0</v>
      </c>
      <c r="J88" s="115" t="s">
        <v>147</v>
      </c>
      <c r="K88" s="122">
        <v>0</v>
      </c>
      <c r="L88" s="113" t="s">
        <v>147</v>
      </c>
      <c r="M88" s="123">
        <v>0</v>
      </c>
      <c r="N88" s="115" t="s">
        <v>147</v>
      </c>
      <c r="O88" s="122">
        <v>0</v>
      </c>
      <c r="P88" s="113" t="s">
        <v>147</v>
      </c>
      <c r="Q88" s="123">
        <v>0</v>
      </c>
      <c r="R88" s="115" t="s">
        <v>147</v>
      </c>
      <c r="S88" s="61"/>
      <c r="U88" s="116">
        <f t="shared" si="1"/>
        <v>1</v>
      </c>
      <c r="V88" s="117">
        <v>1</v>
      </c>
      <c r="W88" s="118">
        <v>0</v>
      </c>
      <c r="X88" s="116">
        <f t="shared" si="2"/>
        <v>1</v>
      </c>
      <c r="Y88" s="117">
        <v>1</v>
      </c>
      <c r="Z88" s="118">
        <v>0</v>
      </c>
      <c r="AA88" s="124">
        <v>1</v>
      </c>
      <c r="AB88" s="125">
        <v>1</v>
      </c>
      <c r="AC88" s="125">
        <v>1</v>
      </c>
      <c r="AD88" s="117">
        <v>0</v>
      </c>
      <c r="AE88" s="117">
        <v>0</v>
      </c>
      <c r="AF88" s="126" t="str">
        <f t="shared" si="0"/>
        <v>OOH740 - Multi Sensor detector</v>
      </c>
    </row>
    <row r="89" spans="1:32" hidden="1" outlineLevel="1" x14ac:dyDescent="0.25">
      <c r="A89" s="59"/>
      <c r="B89" s="121" t="s">
        <v>779</v>
      </c>
      <c r="C89" s="127">
        <v>0</v>
      </c>
      <c r="D89" s="113" t="s">
        <v>780</v>
      </c>
      <c r="E89" s="123">
        <v>0</v>
      </c>
      <c r="F89" s="115" t="s">
        <v>780</v>
      </c>
      <c r="G89" s="127">
        <v>0</v>
      </c>
      <c r="H89" s="113" t="s">
        <v>147</v>
      </c>
      <c r="I89" s="123">
        <v>0</v>
      </c>
      <c r="J89" s="115" t="s">
        <v>780</v>
      </c>
      <c r="K89" s="127">
        <v>0</v>
      </c>
      <c r="L89" s="113" t="s">
        <v>780</v>
      </c>
      <c r="M89" s="123">
        <v>0</v>
      </c>
      <c r="N89" s="115" t="s">
        <v>780</v>
      </c>
      <c r="O89" s="127">
        <v>0</v>
      </c>
      <c r="P89" s="113" t="s">
        <v>780</v>
      </c>
      <c r="Q89" s="123">
        <v>0</v>
      </c>
      <c r="R89" s="115" t="s">
        <v>780</v>
      </c>
      <c r="S89" s="61"/>
      <c r="U89" s="116">
        <f t="shared" si="1"/>
        <v>1</v>
      </c>
      <c r="V89" s="117">
        <v>1</v>
      </c>
      <c r="W89" s="118">
        <v>0</v>
      </c>
      <c r="X89" s="116">
        <f t="shared" si="2"/>
        <v>1</v>
      </c>
      <c r="Y89" s="117">
        <v>1</v>
      </c>
      <c r="Z89" s="118">
        <v>0</v>
      </c>
      <c r="AA89" s="124">
        <v>1</v>
      </c>
      <c r="AB89" s="125">
        <v>1</v>
      </c>
      <c r="AC89" s="125">
        <v>1</v>
      </c>
      <c r="AD89" s="117">
        <v>0</v>
      </c>
      <c r="AE89" s="117">
        <v>0</v>
      </c>
      <c r="AF89" s="126" t="str">
        <f t="shared" si="0"/>
        <v>OP360 - Smoke detector</v>
      </c>
    </row>
    <row r="90" spans="1:32" hidden="1" outlineLevel="1" x14ac:dyDescent="0.25">
      <c r="A90" s="59"/>
      <c r="B90" s="121" t="s">
        <v>782</v>
      </c>
      <c r="C90" s="127">
        <v>0</v>
      </c>
      <c r="D90" s="128" t="s">
        <v>780</v>
      </c>
      <c r="E90" s="127">
        <v>0</v>
      </c>
      <c r="F90" s="129" t="s">
        <v>147</v>
      </c>
      <c r="G90" s="127">
        <v>0</v>
      </c>
      <c r="H90" s="129" t="s">
        <v>147</v>
      </c>
      <c r="I90" s="127">
        <v>0</v>
      </c>
      <c r="J90" s="129" t="s">
        <v>147</v>
      </c>
      <c r="K90" s="127">
        <v>0</v>
      </c>
      <c r="L90" s="129" t="s">
        <v>147</v>
      </c>
      <c r="M90" s="127">
        <v>0</v>
      </c>
      <c r="N90" s="129" t="s">
        <v>147</v>
      </c>
      <c r="O90" s="127">
        <v>0</v>
      </c>
      <c r="P90" s="129" t="s">
        <v>147</v>
      </c>
      <c r="Q90" s="127">
        <v>0</v>
      </c>
      <c r="R90" s="129" t="s">
        <v>147</v>
      </c>
      <c r="S90" s="61"/>
      <c r="U90" s="116">
        <f t="shared" si="1"/>
        <v>1</v>
      </c>
      <c r="V90" s="117">
        <v>1</v>
      </c>
      <c r="W90" s="118">
        <v>0</v>
      </c>
      <c r="X90" s="116">
        <f t="shared" si="2"/>
        <v>1</v>
      </c>
      <c r="Y90" s="117">
        <v>1</v>
      </c>
      <c r="Z90" s="118">
        <v>0</v>
      </c>
      <c r="AA90" s="124">
        <v>1</v>
      </c>
      <c r="AB90" s="125">
        <v>1</v>
      </c>
      <c r="AC90" s="125">
        <v>1</v>
      </c>
      <c r="AD90" s="117">
        <v>0</v>
      </c>
      <c r="AE90" s="117">
        <v>0</v>
      </c>
      <c r="AF90" s="126" t="str">
        <f t="shared" si="0"/>
        <v>OH360 - Multi-sensor smoke detector</v>
      </c>
    </row>
    <row r="91" spans="1:32" hidden="1" outlineLevel="1" x14ac:dyDescent="0.25">
      <c r="A91" s="59"/>
      <c r="B91" s="121" t="s">
        <v>783</v>
      </c>
      <c r="C91" s="127">
        <v>0</v>
      </c>
      <c r="D91" s="128" t="s">
        <v>780</v>
      </c>
      <c r="E91" s="127">
        <v>0</v>
      </c>
      <c r="F91" s="129" t="s">
        <v>780</v>
      </c>
      <c r="G91" s="127">
        <v>0</v>
      </c>
      <c r="H91" s="129" t="s">
        <v>780</v>
      </c>
      <c r="I91" s="127">
        <v>0</v>
      </c>
      <c r="J91" s="129" t="s">
        <v>780</v>
      </c>
      <c r="K91" s="127">
        <v>0</v>
      </c>
      <c r="L91" s="129" t="s">
        <v>780</v>
      </c>
      <c r="M91" s="127">
        <v>0</v>
      </c>
      <c r="N91" s="129" t="s">
        <v>780</v>
      </c>
      <c r="O91" s="127">
        <v>0</v>
      </c>
      <c r="P91" s="129" t="s">
        <v>780</v>
      </c>
      <c r="Q91" s="127">
        <v>0</v>
      </c>
      <c r="R91" s="129" t="s">
        <v>780</v>
      </c>
      <c r="S91" s="61"/>
      <c r="U91" s="116">
        <f t="shared" si="1"/>
        <v>1</v>
      </c>
      <c r="V91" s="117">
        <v>1</v>
      </c>
      <c r="W91" s="118">
        <v>0</v>
      </c>
      <c r="X91" s="116">
        <f t="shared" si="2"/>
        <v>1</v>
      </c>
      <c r="Y91" s="117">
        <v>1</v>
      </c>
      <c r="Z91" s="118">
        <v>0</v>
      </c>
      <c r="AA91" s="124">
        <v>1</v>
      </c>
      <c r="AB91" s="125">
        <v>1</v>
      </c>
      <c r="AC91" s="125">
        <v>1</v>
      </c>
      <c r="AD91" s="117">
        <v>0</v>
      </c>
      <c r="AE91" s="117">
        <v>0</v>
      </c>
      <c r="AF91" s="126" t="str">
        <f t="shared" si="0"/>
        <v>HI360 - Heat detector (RoR)</v>
      </c>
    </row>
    <row r="92" spans="1:32" hidden="1" x14ac:dyDescent="0.25">
      <c r="A92" s="59"/>
      <c r="B92" s="121"/>
      <c r="C92" s="127"/>
      <c r="D92" s="128"/>
      <c r="E92" s="127"/>
      <c r="F92" s="129"/>
      <c r="G92" s="127"/>
      <c r="H92" s="129"/>
      <c r="I92" s="127"/>
      <c r="J92" s="129"/>
      <c r="K92" s="127"/>
      <c r="L92" s="129"/>
      <c r="M92" s="127"/>
      <c r="N92" s="129"/>
      <c r="O92" s="127"/>
      <c r="P92" s="129"/>
      <c r="Q92" s="127"/>
      <c r="R92" s="129"/>
      <c r="S92" s="61"/>
      <c r="U92" s="116">
        <f t="shared" si="1"/>
        <v>0</v>
      </c>
      <c r="V92" s="117"/>
      <c r="W92" s="118"/>
      <c r="X92" s="116">
        <f t="shared" si="2"/>
        <v>0</v>
      </c>
      <c r="Y92" s="117"/>
      <c r="Z92" s="118"/>
      <c r="AA92" s="124"/>
      <c r="AB92" s="125"/>
      <c r="AC92" s="125"/>
      <c r="AD92" s="117"/>
      <c r="AE92" s="117"/>
      <c r="AF92" s="126">
        <f t="shared" si="0"/>
        <v>0</v>
      </c>
    </row>
    <row r="93" spans="1:32" hidden="1" x14ac:dyDescent="0.25">
      <c r="A93" s="59"/>
      <c r="B93" s="121"/>
      <c r="C93" s="127"/>
      <c r="D93" s="128"/>
      <c r="E93" s="127"/>
      <c r="F93" s="129"/>
      <c r="G93" s="127"/>
      <c r="H93" s="129"/>
      <c r="I93" s="127"/>
      <c r="J93" s="129"/>
      <c r="K93" s="127"/>
      <c r="L93" s="129"/>
      <c r="M93" s="127"/>
      <c r="N93" s="129"/>
      <c r="O93" s="127"/>
      <c r="P93" s="129"/>
      <c r="Q93" s="127"/>
      <c r="R93" s="129"/>
      <c r="S93" s="61"/>
      <c r="U93" s="116">
        <f t="shared" si="1"/>
        <v>0</v>
      </c>
      <c r="V93" s="117"/>
      <c r="W93" s="118"/>
      <c r="X93" s="116">
        <f t="shared" si="2"/>
        <v>0</v>
      </c>
      <c r="Y93" s="117"/>
      <c r="Z93" s="118"/>
      <c r="AA93" s="124"/>
      <c r="AB93" s="125"/>
      <c r="AC93" s="125"/>
      <c r="AD93" s="117"/>
      <c r="AE93" s="117"/>
      <c r="AF93" s="126">
        <f t="shared" si="0"/>
        <v>0</v>
      </c>
    </row>
    <row r="94" spans="1:32" hidden="1" x14ac:dyDescent="0.25">
      <c r="A94" s="59"/>
      <c r="B94" s="121"/>
      <c r="C94" s="127"/>
      <c r="D94" s="128"/>
      <c r="E94" s="127"/>
      <c r="F94" s="129"/>
      <c r="G94" s="127"/>
      <c r="H94" s="129"/>
      <c r="I94" s="127"/>
      <c r="J94" s="129"/>
      <c r="K94" s="127"/>
      <c r="L94" s="129"/>
      <c r="M94" s="127"/>
      <c r="N94" s="129"/>
      <c r="O94" s="127"/>
      <c r="P94" s="129"/>
      <c r="Q94" s="127"/>
      <c r="R94" s="129"/>
      <c r="S94" s="61"/>
      <c r="U94" s="116">
        <f t="shared" si="1"/>
        <v>0</v>
      </c>
      <c r="V94" s="117"/>
      <c r="W94" s="118"/>
      <c r="X94" s="116">
        <f t="shared" si="2"/>
        <v>0</v>
      </c>
      <c r="Y94" s="117"/>
      <c r="Z94" s="118"/>
      <c r="AA94" s="124"/>
      <c r="AB94" s="125"/>
      <c r="AC94" s="125"/>
      <c r="AD94" s="117"/>
      <c r="AE94" s="117"/>
      <c r="AF94" s="126">
        <f t="shared" si="0"/>
        <v>0</v>
      </c>
    </row>
    <row r="95" spans="1:32" hidden="1" x14ac:dyDescent="0.25">
      <c r="A95" s="59"/>
      <c r="B95" s="121"/>
      <c r="C95" s="127"/>
      <c r="D95" s="128"/>
      <c r="E95" s="127"/>
      <c r="F95" s="129"/>
      <c r="G95" s="127"/>
      <c r="H95" s="129"/>
      <c r="I95" s="127"/>
      <c r="J95" s="129"/>
      <c r="K95" s="127"/>
      <c r="L95" s="129"/>
      <c r="M95" s="127"/>
      <c r="N95" s="129"/>
      <c r="O95" s="127"/>
      <c r="P95" s="129"/>
      <c r="Q95" s="127"/>
      <c r="R95" s="129"/>
      <c r="S95" s="61"/>
      <c r="U95" s="116">
        <f t="shared" si="1"/>
        <v>0</v>
      </c>
      <c r="V95" s="117"/>
      <c r="W95" s="118"/>
      <c r="X95" s="116">
        <f t="shared" si="2"/>
        <v>0</v>
      </c>
      <c r="Y95" s="117"/>
      <c r="Z95" s="118"/>
      <c r="AA95" s="124"/>
      <c r="AB95" s="125"/>
      <c r="AC95" s="125"/>
      <c r="AD95" s="117"/>
      <c r="AE95" s="117"/>
      <c r="AF95" s="126">
        <f t="shared" si="0"/>
        <v>0</v>
      </c>
    </row>
    <row r="96" spans="1:32" hidden="1" x14ac:dyDescent="0.25">
      <c r="A96" s="59"/>
      <c r="B96" s="121"/>
      <c r="C96" s="127"/>
      <c r="D96" s="128"/>
      <c r="E96" s="127"/>
      <c r="F96" s="129"/>
      <c r="G96" s="127"/>
      <c r="H96" s="129"/>
      <c r="I96" s="127"/>
      <c r="J96" s="129"/>
      <c r="K96" s="127"/>
      <c r="L96" s="129"/>
      <c r="M96" s="127"/>
      <c r="N96" s="129"/>
      <c r="O96" s="127"/>
      <c r="P96" s="129"/>
      <c r="Q96" s="127"/>
      <c r="R96" s="129"/>
      <c r="S96" s="61"/>
      <c r="U96" s="116">
        <f t="shared" si="1"/>
        <v>0</v>
      </c>
      <c r="V96" s="117"/>
      <c r="W96" s="118"/>
      <c r="X96" s="116">
        <f t="shared" si="2"/>
        <v>0</v>
      </c>
      <c r="Y96" s="117"/>
      <c r="Z96" s="118"/>
      <c r="AA96" s="124"/>
      <c r="AB96" s="125"/>
      <c r="AC96" s="125"/>
      <c r="AD96" s="117"/>
      <c r="AE96" s="117"/>
      <c r="AF96" s="126">
        <f t="shared" si="0"/>
        <v>0</v>
      </c>
    </row>
    <row r="97" spans="1:32" hidden="1" x14ac:dyDescent="0.25">
      <c r="A97" s="59"/>
      <c r="B97" s="121"/>
      <c r="C97" s="127"/>
      <c r="D97" s="128"/>
      <c r="E97" s="127"/>
      <c r="F97" s="129"/>
      <c r="G97" s="127"/>
      <c r="H97" s="129"/>
      <c r="I97" s="127"/>
      <c r="J97" s="129"/>
      <c r="K97" s="127"/>
      <c r="L97" s="129"/>
      <c r="M97" s="127"/>
      <c r="N97" s="129"/>
      <c r="O97" s="127"/>
      <c r="P97" s="129"/>
      <c r="Q97" s="127"/>
      <c r="R97" s="129"/>
      <c r="S97" s="61"/>
      <c r="U97" s="116">
        <f t="shared" si="1"/>
        <v>0</v>
      </c>
      <c r="V97" s="117"/>
      <c r="W97" s="118"/>
      <c r="X97" s="116">
        <f t="shared" si="2"/>
        <v>0</v>
      </c>
      <c r="Y97" s="117"/>
      <c r="Z97" s="118"/>
      <c r="AA97" s="124"/>
      <c r="AB97" s="125"/>
      <c r="AC97" s="125"/>
      <c r="AD97" s="117"/>
      <c r="AE97" s="117"/>
      <c r="AF97" s="126">
        <f t="shared" si="0"/>
        <v>0</v>
      </c>
    </row>
    <row r="98" spans="1:32" hidden="1" x14ac:dyDescent="0.25">
      <c r="A98" s="59"/>
      <c r="B98" s="121"/>
      <c r="C98" s="127"/>
      <c r="D98" s="128"/>
      <c r="E98" s="127"/>
      <c r="F98" s="129"/>
      <c r="G98" s="127"/>
      <c r="H98" s="129"/>
      <c r="I98" s="127"/>
      <c r="J98" s="129"/>
      <c r="K98" s="127"/>
      <c r="L98" s="129"/>
      <c r="M98" s="127"/>
      <c r="N98" s="129"/>
      <c r="O98" s="127"/>
      <c r="P98" s="129"/>
      <c r="Q98" s="127"/>
      <c r="R98" s="129"/>
      <c r="S98" s="61"/>
      <c r="U98" s="116">
        <f t="shared" si="1"/>
        <v>0</v>
      </c>
      <c r="V98" s="117"/>
      <c r="W98" s="118"/>
      <c r="X98" s="116">
        <f t="shared" si="2"/>
        <v>0</v>
      </c>
      <c r="Y98" s="117"/>
      <c r="Z98" s="118"/>
      <c r="AA98" s="124"/>
      <c r="AB98" s="125"/>
      <c r="AC98" s="125"/>
      <c r="AD98" s="117"/>
      <c r="AE98" s="117"/>
      <c r="AF98" s="126">
        <f t="shared" si="0"/>
        <v>0</v>
      </c>
    </row>
    <row r="99" spans="1:32" hidden="1" x14ac:dyDescent="0.25">
      <c r="A99" s="59"/>
      <c r="B99" s="121"/>
      <c r="C99" s="127"/>
      <c r="D99" s="128"/>
      <c r="E99" s="127"/>
      <c r="F99" s="129"/>
      <c r="G99" s="127"/>
      <c r="H99" s="129"/>
      <c r="I99" s="127"/>
      <c r="J99" s="129"/>
      <c r="K99" s="127"/>
      <c r="L99" s="129"/>
      <c r="M99" s="127"/>
      <c r="N99" s="129"/>
      <c r="O99" s="127"/>
      <c r="P99" s="129"/>
      <c r="Q99" s="127"/>
      <c r="R99" s="129"/>
      <c r="S99" s="61"/>
      <c r="U99" s="116">
        <f t="shared" si="1"/>
        <v>0</v>
      </c>
      <c r="V99" s="117"/>
      <c r="W99" s="118"/>
      <c r="X99" s="116">
        <f t="shared" si="2"/>
        <v>0</v>
      </c>
      <c r="Y99" s="117"/>
      <c r="Z99" s="118"/>
      <c r="AA99" s="124"/>
      <c r="AB99" s="125"/>
      <c r="AC99" s="125"/>
      <c r="AD99" s="117"/>
      <c r="AE99" s="117"/>
      <c r="AF99" s="126">
        <f t="shared" si="0"/>
        <v>0</v>
      </c>
    </row>
    <row r="100" spans="1:32" ht="13" collapsed="1" x14ac:dyDescent="0.25">
      <c r="A100" s="59"/>
      <c r="B100" s="660" t="s">
        <v>257</v>
      </c>
      <c r="C100" s="130"/>
      <c r="D100" s="130"/>
      <c r="E100" s="130"/>
      <c r="F100" s="130"/>
      <c r="G100" s="130"/>
      <c r="H100" s="130"/>
      <c r="I100" s="130"/>
      <c r="J100" s="130"/>
      <c r="K100" s="130"/>
      <c r="L100" s="130"/>
      <c r="M100" s="130"/>
      <c r="N100" s="130"/>
      <c r="O100" s="130"/>
      <c r="P100" s="130"/>
      <c r="Q100" s="130"/>
      <c r="R100" s="131"/>
      <c r="S100" s="94"/>
      <c r="U100" s="132"/>
      <c r="V100" s="133"/>
      <c r="W100" s="134"/>
      <c r="X100" s="132"/>
      <c r="Y100" s="133"/>
      <c r="Z100" s="134"/>
      <c r="AA100" s="135"/>
      <c r="AB100" s="136"/>
      <c r="AC100" s="136"/>
      <c r="AD100" s="136"/>
      <c r="AE100" s="136"/>
      <c r="AF100" s="137" t="str">
        <f t="shared" si="0"/>
        <v>Special detectors</v>
      </c>
    </row>
    <row r="101" spans="1:32" hidden="1" outlineLevel="1" x14ac:dyDescent="0.25">
      <c r="A101" s="59"/>
      <c r="B101" s="121" t="s">
        <v>784</v>
      </c>
      <c r="C101" s="122">
        <v>0</v>
      </c>
      <c r="D101" s="113" t="s">
        <v>147</v>
      </c>
      <c r="E101" s="123">
        <v>0</v>
      </c>
      <c r="F101" s="115" t="s">
        <v>147</v>
      </c>
      <c r="G101" s="122">
        <v>0</v>
      </c>
      <c r="H101" s="113" t="s">
        <v>147</v>
      </c>
      <c r="I101" s="123">
        <v>0</v>
      </c>
      <c r="J101" s="115" t="s">
        <v>147</v>
      </c>
      <c r="K101" s="122">
        <v>0</v>
      </c>
      <c r="L101" s="113" t="s">
        <v>147</v>
      </c>
      <c r="M101" s="123">
        <v>0</v>
      </c>
      <c r="N101" s="115" t="s">
        <v>147</v>
      </c>
      <c r="O101" s="122">
        <v>0</v>
      </c>
      <c r="P101" s="113" t="s">
        <v>147</v>
      </c>
      <c r="Q101" s="123">
        <v>0</v>
      </c>
      <c r="R101" s="115" t="s">
        <v>147</v>
      </c>
      <c r="S101" s="61"/>
      <c r="U101" s="116">
        <f t="shared" si="1"/>
        <v>3</v>
      </c>
      <c r="V101" s="117">
        <v>3</v>
      </c>
      <c r="W101" s="118">
        <v>0</v>
      </c>
      <c r="X101" s="116">
        <f t="shared" si="2"/>
        <v>3</v>
      </c>
      <c r="Y101" s="117">
        <v>3</v>
      </c>
      <c r="Z101" s="118">
        <v>0</v>
      </c>
      <c r="AA101" s="124">
        <v>1</v>
      </c>
      <c r="AB101" s="125">
        <v>1</v>
      </c>
      <c r="AC101" s="125">
        <v>1</v>
      </c>
      <c r="AD101" s="117">
        <v>0</v>
      </c>
      <c r="AE101" s="117">
        <v>0</v>
      </c>
      <c r="AF101" s="126" t="str">
        <f t="shared" si="0"/>
        <v>FDF241-9 - Infrared flame detector</v>
      </c>
    </row>
    <row r="102" spans="1:32" hidden="1" outlineLevel="1" x14ac:dyDescent="0.25">
      <c r="A102" s="59"/>
      <c r="B102" s="121" t="s">
        <v>785</v>
      </c>
      <c r="C102" s="122">
        <v>0</v>
      </c>
      <c r="D102" s="113" t="s">
        <v>147</v>
      </c>
      <c r="E102" s="123">
        <v>0</v>
      </c>
      <c r="F102" s="115" t="s">
        <v>147</v>
      </c>
      <c r="G102" s="122">
        <v>0</v>
      </c>
      <c r="H102" s="113" t="s">
        <v>147</v>
      </c>
      <c r="I102" s="123">
        <v>0</v>
      </c>
      <c r="J102" s="115" t="s">
        <v>147</v>
      </c>
      <c r="K102" s="122">
        <v>0</v>
      </c>
      <c r="L102" s="113" t="s">
        <v>147</v>
      </c>
      <c r="M102" s="123">
        <v>0</v>
      </c>
      <c r="N102" s="115" t="s">
        <v>147</v>
      </c>
      <c r="O102" s="122">
        <v>0</v>
      </c>
      <c r="P102" s="113" t="s">
        <v>147</v>
      </c>
      <c r="Q102" s="123">
        <v>0</v>
      </c>
      <c r="R102" s="115" t="s">
        <v>147</v>
      </c>
      <c r="S102" s="61"/>
      <c r="U102" s="116">
        <f t="shared" si="1"/>
        <v>4</v>
      </c>
      <c r="V102" s="117">
        <v>4</v>
      </c>
      <c r="W102" s="118">
        <v>0</v>
      </c>
      <c r="X102" s="116">
        <f t="shared" si="2"/>
        <v>4</v>
      </c>
      <c r="Y102" s="117">
        <v>4</v>
      </c>
      <c r="Z102" s="118">
        <v>0</v>
      </c>
      <c r="AA102" s="124">
        <v>1</v>
      </c>
      <c r="AB102" s="125">
        <v>1</v>
      </c>
      <c r="AC102" s="125">
        <v>1</v>
      </c>
      <c r="AD102" s="117">
        <v>0</v>
      </c>
      <c r="AE102" s="117">
        <v>0</v>
      </c>
      <c r="AF102" s="126" t="str">
        <f t="shared" si="0"/>
        <v>FDL241-9 - Linear smoke detector</v>
      </c>
    </row>
    <row r="103" spans="1:32" hidden="1" outlineLevel="1" x14ac:dyDescent="0.25">
      <c r="A103" s="59"/>
      <c r="B103" s="121" t="s">
        <v>786</v>
      </c>
      <c r="C103" s="122">
        <v>0</v>
      </c>
      <c r="D103" s="113" t="s">
        <v>147</v>
      </c>
      <c r="E103" s="123">
        <v>0</v>
      </c>
      <c r="F103" s="115" t="s">
        <v>147</v>
      </c>
      <c r="G103" s="122">
        <v>0</v>
      </c>
      <c r="H103" s="113" t="s">
        <v>147</v>
      </c>
      <c r="I103" s="123">
        <v>0</v>
      </c>
      <c r="J103" s="115" t="s">
        <v>147</v>
      </c>
      <c r="K103" s="122">
        <v>0</v>
      </c>
      <c r="L103" s="113" t="s">
        <v>147</v>
      </c>
      <c r="M103" s="123">
        <v>0</v>
      </c>
      <c r="N103" s="115" t="s">
        <v>147</v>
      </c>
      <c r="O103" s="122">
        <v>0</v>
      </c>
      <c r="P103" s="113" t="s">
        <v>147</v>
      </c>
      <c r="Q103" s="123">
        <v>0</v>
      </c>
      <c r="R103" s="115" t="s">
        <v>147</v>
      </c>
      <c r="S103" s="61"/>
      <c r="U103" s="116">
        <f t="shared" si="1"/>
        <v>2</v>
      </c>
      <c r="V103" s="117">
        <v>2</v>
      </c>
      <c r="W103" s="118">
        <v>0</v>
      </c>
      <c r="X103" s="116">
        <f t="shared" si="2"/>
        <v>2</v>
      </c>
      <c r="Y103" s="117">
        <v>2</v>
      </c>
      <c r="Z103" s="118">
        <v>0</v>
      </c>
      <c r="AA103" s="124">
        <v>1</v>
      </c>
      <c r="AB103" s="125">
        <v>1</v>
      </c>
      <c r="AC103" s="125">
        <v>1</v>
      </c>
      <c r="AD103" s="117">
        <v>0</v>
      </c>
      <c r="AE103" s="117">
        <v>0</v>
      </c>
      <c r="AF103" s="126" t="str">
        <f t="shared" si="0"/>
        <v>OOHC740 - Neural Fire and CO detector</v>
      </c>
    </row>
    <row r="104" spans="1:32" hidden="1" x14ac:dyDescent="0.25">
      <c r="A104" s="59"/>
      <c r="B104" s="121"/>
      <c r="C104" s="122"/>
      <c r="D104" s="113"/>
      <c r="E104" s="123"/>
      <c r="F104" s="115"/>
      <c r="G104" s="122"/>
      <c r="H104" s="113"/>
      <c r="I104" s="123"/>
      <c r="J104" s="115"/>
      <c r="K104" s="122"/>
      <c r="L104" s="113"/>
      <c r="M104" s="123"/>
      <c r="N104" s="115"/>
      <c r="O104" s="122"/>
      <c r="P104" s="113"/>
      <c r="Q104" s="123"/>
      <c r="R104" s="115"/>
      <c r="S104" s="61"/>
      <c r="U104" s="116">
        <v>0</v>
      </c>
      <c r="V104" s="117"/>
      <c r="W104" s="118"/>
      <c r="X104" s="116">
        <v>0</v>
      </c>
      <c r="Y104" s="117"/>
      <c r="Z104" s="118"/>
      <c r="AA104" s="124"/>
      <c r="AB104" s="125"/>
      <c r="AC104" s="125"/>
      <c r="AD104" s="117"/>
      <c r="AE104" s="117"/>
      <c r="AF104" s="126">
        <f t="shared" si="0"/>
        <v>0</v>
      </c>
    </row>
    <row r="105" spans="1:32" hidden="1" x14ac:dyDescent="0.25">
      <c r="A105" s="59"/>
      <c r="B105" s="121"/>
      <c r="C105" s="122"/>
      <c r="D105" s="115"/>
      <c r="E105" s="122"/>
      <c r="F105" s="138"/>
      <c r="G105" s="122"/>
      <c r="H105" s="138"/>
      <c r="I105" s="122"/>
      <c r="J105" s="138"/>
      <c r="K105" s="122"/>
      <c r="L105" s="138"/>
      <c r="M105" s="122"/>
      <c r="N105" s="138"/>
      <c r="O105" s="122"/>
      <c r="P105" s="138"/>
      <c r="Q105" s="122"/>
      <c r="R105" s="138"/>
      <c r="S105" s="61"/>
      <c r="U105" s="116">
        <f t="shared" si="1"/>
        <v>0</v>
      </c>
      <c r="V105" s="117"/>
      <c r="W105" s="139"/>
      <c r="X105" s="116">
        <f t="shared" si="2"/>
        <v>0</v>
      </c>
      <c r="Y105" s="117"/>
      <c r="Z105" s="139"/>
      <c r="AA105" s="124"/>
      <c r="AB105" s="125"/>
      <c r="AC105" s="125"/>
      <c r="AD105" s="117"/>
      <c r="AE105" s="117"/>
      <c r="AF105" s="126">
        <f t="shared" si="0"/>
        <v>0</v>
      </c>
    </row>
    <row r="106" spans="1:32" hidden="1" x14ac:dyDescent="0.25">
      <c r="A106" s="59"/>
      <c r="B106" s="121"/>
      <c r="C106" s="122"/>
      <c r="D106" s="115"/>
      <c r="E106" s="122"/>
      <c r="F106" s="138"/>
      <c r="G106" s="122"/>
      <c r="H106" s="138"/>
      <c r="I106" s="122"/>
      <c r="J106" s="138"/>
      <c r="K106" s="122"/>
      <c r="L106" s="138"/>
      <c r="M106" s="122"/>
      <c r="N106" s="138"/>
      <c r="O106" s="122"/>
      <c r="P106" s="138"/>
      <c r="Q106" s="122"/>
      <c r="R106" s="138"/>
      <c r="S106" s="61"/>
      <c r="U106" s="116">
        <f t="shared" si="1"/>
        <v>0</v>
      </c>
      <c r="V106" s="117"/>
      <c r="W106" s="139"/>
      <c r="X106" s="116">
        <f t="shared" si="2"/>
        <v>0</v>
      </c>
      <c r="Y106" s="117"/>
      <c r="Z106" s="139"/>
      <c r="AA106" s="124"/>
      <c r="AB106" s="125"/>
      <c r="AC106" s="125"/>
      <c r="AD106" s="117"/>
      <c r="AE106" s="117"/>
      <c r="AF106" s="126">
        <f t="shared" si="0"/>
        <v>0</v>
      </c>
    </row>
    <row r="107" spans="1:32" hidden="1" x14ac:dyDescent="0.25">
      <c r="A107" s="59"/>
      <c r="B107" s="121"/>
      <c r="C107" s="122"/>
      <c r="D107" s="115"/>
      <c r="E107" s="122"/>
      <c r="F107" s="138"/>
      <c r="G107" s="122"/>
      <c r="H107" s="138"/>
      <c r="I107" s="122"/>
      <c r="J107" s="138"/>
      <c r="K107" s="122"/>
      <c r="L107" s="138"/>
      <c r="M107" s="122"/>
      <c r="N107" s="138"/>
      <c r="O107" s="122"/>
      <c r="P107" s="138"/>
      <c r="Q107" s="122"/>
      <c r="R107" s="138"/>
      <c r="S107" s="61"/>
      <c r="U107" s="116">
        <f t="shared" si="1"/>
        <v>0</v>
      </c>
      <c r="V107" s="117"/>
      <c r="W107" s="139"/>
      <c r="X107" s="116">
        <f t="shared" si="2"/>
        <v>0</v>
      </c>
      <c r="Y107" s="117"/>
      <c r="Z107" s="139"/>
      <c r="AA107" s="124"/>
      <c r="AB107" s="125"/>
      <c r="AC107" s="125"/>
      <c r="AD107" s="117"/>
      <c r="AE107" s="117"/>
      <c r="AF107" s="126">
        <f t="shared" si="0"/>
        <v>0</v>
      </c>
    </row>
    <row r="108" spans="1:32" hidden="1" x14ac:dyDescent="0.25">
      <c r="A108" s="59"/>
      <c r="B108" s="121"/>
      <c r="C108" s="122"/>
      <c r="D108" s="115"/>
      <c r="E108" s="122"/>
      <c r="F108" s="138"/>
      <c r="G108" s="122"/>
      <c r="H108" s="138"/>
      <c r="I108" s="122"/>
      <c r="J108" s="138"/>
      <c r="K108" s="122"/>
      <c r="L108" s="138"/>
      <c r="M108" s="122"/>
      <c r="N108" s="138"/>
      <c r="O108" s="122"/>
      <c r="P108" s="138"/>
      <c r="Q108" s="122"/>
      <c r="R108" s="138"/>
      <c r="S108" s="61"/>
      <c r="U108" s="116">
        <f t="shared" si="1"/>
        <v>0</v>
      </c>
      <c r="V108" s="117"/>
      <c r="W108" s="139"/>
      <c r="X108" s="116">
        <f t="shared" si="2"/>
        <v>0</v>
      </c>
      <c r="Y108" s="117"/>
      <c r="Z108" s="139"/>
      <c r="AA108" s="124"/>
      <c r="AB108" s="125"/>
      <c r="AC108" s="125"/>
      <c r="AD108" s="117"/>
      <c r="AE108" s="117"/>
      <c r="AF108" s="126">
        <f t="shared" si="0"/>
        <v>0</v>
      </c>
    </row>
    <row r="109" spans="1:32" hidden="1" x14ac:dyDescent="0.25">
      <c r="A109" s="59"/>
      <c r="B109" s="121"/>
      <c r="C109" s="122"/>
      <c r="D109" s="115"/>
      <c r="E109" s="122"/>
      <c r="F109" s="138"/>
      <c r="G109" s="122"/>
      <c r="H109" s="138"/>
      <c r="I109" s="122"/>
      <c r="J109" s="138"/>
      <c r="K109" s="122"/>
      <c r="L109" s="138"/>
      <c r="M109" s="122"/>
      <c r="N109" s="138"/>
      <c r="O109" s="122"/>
      <c r="P109" s="138"/>
      <c r="Q109" s="122"/>
      <c r="R109" s="138"/>
      <c r="S109" s="61"/>
      <c r="U109" s="116">
        <f t="shared" si="1"/>
        <v>0</v>
      </c>
      <c r="V109" s="117"/>
      <c r="W109" s="139"/>
      <c r="X109" s="116">
        <f t="shared" si="2"/>
        <v>0</v>
      </c>
      <c r="Y109" s="117"/>
      <c r="Z109" s="139"/>
      <c r="AA109" s="124"/>
      <c r="AB109" s="125"/>
      <c r="AC109" s="125"/>
      <c r="AD109" s="117"/>
      <c r="AE109" s="117"/>
      <c r="AF109" s="126">
        <f t="shared" si="0"/>
        <v>0</v>
      </c>
    </row>
    <row r="110" spans="1:32" hidden="1" x14ac:dyDescent="0.25">
      <c r="A110" s="59"/>
      <c r="B110" s="121"/>
      <c r="C110" s="122"/>
      <c r="D110" s="115"/>
      <c r="E110" s="122"/>
      <c r="F110" s="138"/>
      <c r="G110" s="122"/>
      <c r="H110" s="138"/>
      <c r="I110" s="122"/>
      <c r="J110" s="138"/>
      <c r="K110" s="122"/>
      <c r="L110" s="138"/>
      <c r="M110" s="122"/>
      <c r="N110" s="138"/>
      <c r="O110" s="122"/>
      <c r="P110" s="138"/>
      <c r="Q110" s="122"/>
      <c r="R110" s="138"/>
      <c r="S110" s="61"/>
      <c r="U110" s="116">
        <f t="shared" si="1"/>
        <v>0</v>
      </c>
      <c r="V110" s="117"/>
      <c r="W110" s="139"/>
      <c r="X110" s="116">
        <f t="shared" si="2"/>
        <v>0</v>
      </c>
      <c r="Y110" s="117"/>
      <c r="Z110" s="139"/>
      <c r="AA110" s="124"/>
      <c r="AB110" s="125"/>
      <c r="AC110" s="125"/>
      <c r="AD110" s="117"/>
      <c r="AE110" s="117"/>
      <c r="AF110" s="126">
        <f t="shared" si="0"/>
        <v>0</v>
      </c>
    </row>
    <row r="111" spans="1:32" hidden="1" x14ac:dyDescent="0.25">
      <c r="A111" s="59"/>
      <c r="B111" s="121"/>
      <c r="C111" s="122"/>
      <c r="D111" s="115"/>
      <c r="E111" s="122"/>
      <c r="F111" s="138"/>
      <c r="G111" s="122"/>
      <c r="H111" s="138"/>
      <c r="I111" s="122"/>
      <c r="J111" s="138"/>
      <c r="K111" s="122"/>
      <c r="L111" s="138"/>
      <c r="M111" s="122"/>
      <c r="N111" s="138"/>
      <c r="O111" s="122"/>
      <c r="P111" s="138"/>
      <c r="Q111" s="122"/>
      <c r="R111" s="138"/>
      <c r="S111" s="61"/>
      <c r="U111" s="116">
        <f t="shared" si="1"/>
        <v>0</v>
      </c>
      <c r="V111" s="117"/>
      <c r="W111" s="139"/>
      <c r="X111" s="116">
        <f t="shared" si="2"/>
        <v>0</v>
      </c>
      <c r="Y111" s="117"/>
      <c r="Z111" s="139"/>
      <c r="AA111" s="124"/>
      <c r="AB111" s="125"/>
      <c r="AC111" s="125"/>
      <c r="AD111" s="117"/>
      <c r="AE111" s="117"/>
      <c r="AF111" s="126">
        <f t="shared" si="0"/>
        <v>0</v>
      </c>
    </row>
    <row r="112" spans="1:32" hidden="1" x14ac:dyDescent="0.25">
      <c r="A112" s="59"/>
      <c r="B112" s="121"/>
      <c r="C112" s="122"/>
      <c r="D112" s="115"/>
      <c r="E112" s="122"/>
      <c r="F112" s="138"/>
      <c r="G112" s="122"/>
      <c r="H112" s="138"/>
      <c r="I112" s="122"/>
      <c r="J112" s="138"/>
      <c r="K112" s="122"/>
      <c r="L112" s="138"/>
      <c r="M112" s="122"/>
      <c r="N112" s="138"/>
      <c r="O112" s="122"/>
      <c r="P112" s="138"/>
      <c r="Q112" s="122"/>
      <c r="R112" s="138"/>
      <c r="S112" s="61"/>
      <c r="U112" s="116">
        <f t="shared" si="1"/>
        <v>0</v>
      </c>
      <c r="V112" s="117"/>
      <c r="W112" s="139"/>
      <c r="X112" s="116">
        <f t="shared" si="2"/>
        <v>0</v>
      </c>
      <c r="Y112" s="117"/>
      <c r="Z112" s="139"/>
      <c r="AA112" s="124"/>
      <c r="AB112" s="125"/>
      <c r="AC112" s="125"/>
      <c r="AD112" s="117"/>
      <c r="AE112" s="117"/>
      <c r="AF112" s="126">
        <f t="shared" si="0"/>
        <v>0</v>
      </c>
    </row>
    <row r="113" spans="1:32" hidden="1" x14ac:dyDescent="0.25">
      <c r="A113" s="59"/>
      <c r="B113" s="121"/>
      <c r="C113" s="122"/>
      <c r="D113" s="115"/>
      <c r="E113" s="122"/>
      <c r="F113" s="138"/>
      <c r="G113" s="122"/>
      <c r="H113" s="138"/>
      <c r="I113" s="122"/>
      <c r="J113" s="138"/>
      <c r="K113" s="122"/>
      <c r="L113" s="138"/>
      <c r="M113" s="122"/>
      <c r="N113" s="138"/>
      <c r="O113" s="122"/>
      <c r="P113" s="138"/>
      <c r="Q113" s="122"/>
      <c r="R113" s="138"/>
      <c r="S113" s="61"/>
      <c r="U113" s="116">
        <f t="shared" si="1"/>
        <v>0</v>
      </c>
      <c r="V113" s="117"/>
      <c r="W113" s="139"/>
      <c r="X113" s="116">
        <f t="shared" si="2"/>
        <v>0</v>
      </c>
      <c r="Y113" s="117"/>
      <c r="Z113" s="139"/>
      <c r="AA113" s="124"/>
      <c r="AB113" s="125"/>
      <c r="AC113" s="125"/>
      <c r="AD113" s="117"/>
      <c r="AE113" s="117"/>
      <c r="AF113" s="126">
        <f t="shared" si="0"/>
        <v>0</v>
      </c>
    </row>
    <row r="114" spans="1:32" hidden="1" x14ac:dyDescent="0.25">
      <c r="A114" s="59"/>
      <c r="B114" s="121"/>
      <c r="C114" s="122"/>
      <c r="D114" s="115"/>
      <c r="E114" s="122"/>
      <c r="F114" s="138"/>
      <c r="G114" s="122"/>
      <c r="H114" s="138"/>
      <c r="I114" s="122"/>
      <c r="J114" s="138"/>
      <c r="K114" s="122"/>
      <c r="L114" s="138"/>
      <c r="M114" s="122"/>
      <c r="N114" s="138"/>
      <c r="O114" s="122"/>
      <c r="P114" s="138"/>
      <c r="Q114" s="122"/>
      <c r="R114" s="138"/>
      <c r="S114" s="61"/>
      <c r="U114" s="116">
        <f t="shared" si="1"/>
        <v>0</v>
      </c>
      <c r="V114" s="117"/>
      <c r="W114" s="139"/>
      <c r="X114" s="116">
        <f t="shared" si="2"/>
        <v>0</v>
      </c>
      <c r="Y114" s="117"/>
      <c r="Z114" s="139"/>
      <c r="AA114" s="124"/>
      <c r="AB114" s="125"/>
      <c r="AC114" s="125"/>
      <c r="AD114" s="117"/>
      <c r="AE114" s="117"/>
      <c r="AF114" s="126">
        <f t="shared" si="0"/>
        <v>0</v>
      </c>
    </row>
    <row r="115" spans="1:32" ht="13" collapsed="1" x14ac:dyDescent="0.25">
      <c r="A115" s="59"/>
      <c r="B115" s="660" t="s">
        <v>258</v>
      </c>
      <c r="C115" s="130"/>
      <c r="D115" s="130"/>
      <c r="E115" s="130"/>
      <c r="F115" s="130"/>
      <c r="G115" s="130"/>
      <c r="H115" s="130"/>
      <c r="I115" s="130"/>
      <c r="J115" s="130"/>
      <c r="K115" s="130"/>
      <c r="L115" s="130"/>
      <c r="M115" s="130"/>
      <c r="N115" s="130"/>
      <c r="O115" s="130"/>
      <c r="P115" s="130"/>
      <c r="Q115" s="130"/>
      <c r="R115" s="131"/>
      <c r="S115" s="94"/>
      <c r="U115" s="132"/>
      <c r="V115" s="133"/>
      <c r="W115" s="140"/>
      <c r="X115" s="132"/>
      <c r="Y115" s="133"/>
      <c r="Z115" s="140"/>
      <c r="AA115" s="135"/>
      <c r="AB115" s="136"/>
      <c r="AC115" s="136"/>
      <c r="AD115" s="136"/>
      <c r="AE115" s="136"/>
      <c r="AF115" s="137" t="str">
        <f t="shared" si="0"/>
        <v>Manual call points</v>
      </c>
    </row>
    <row r="116" spans="1:32" hidden="1" outlineLevel="1" x14ac:dyDescent="0.25">
      <c r="A116" s="59"/>
      <c r="B116" s="141" t="s">
        <v>259</v>
      </c>
      <c r="C116" s="122">
        <v>0</v>
      </c>
      <c r="D116" s="113" t="s">
        <v>147</v>
      </c>
      <c r="E116" s="123">
        <v>0</v>
      </c>
      <c r="F116" s="115" t="s">
        <v>147</v>
      </c>
      <c r="G116" s="122">
        <v>0</v>
      </c>
      <c r="H116" s="113" t="s">
        <v>147</v>
      </c>
      <c r="I116" s="123">
        <v>0</v>
      </c>
      <c r="J116" s="115" t="s">
        <v>147</v>
      </c>
      <c r="K116" s="122">
        <v>0</v>
      </c>
      <c r="L116" s="113" t="s">
        <v>147</v>
      </c>
      <c r="M116" s="123">
        <v>0</v>
      </c>
      <c r="N116" s="115" t="s">
        <v>147</v>
      </c>
      <c r="O116" s="122">
        <v>0</v>
      </c>
      <c r="P116" s="113" t="s">
        <v>147</v>
      </c>
      <c r="Q116" s="123">
        <v>0</v>
      </c>
      <c r="R116" s="115" t="s">
        <v>147</v>
      </c>
      <c r="S116" s="61"/>
      <c r="U116" s="116">
        <f t="shared" si="1"/>
        <v>1</v>
      </c>
      <c r="V116" s="117">
        <v>1</v>
      </c>
      <c r="W116" s="118">
        <v>0</v>
      </c>
      <c r="X116" s="116">
        <f t="shared" si="2"/>
        <v>1</v>
      </c>
      <c r="Y116" s="117">
        <v>1</v>
      </c>
      <c r="Z116" s="118">
        <v>0</v>
      </c>
      <c r="AA116" s="124">
        <v>1</v>
      </c>
      <c r="AB116" s="125">
        <v>1</v>
      </c>
      <c r="AC116" s="125">
        <v>1</v>
      </c>
      <c r="AD116" s="117">
        <v>0</v>
      </c>
      <c r="AE116" s="117">
        <v>0</v>
      </c>
      <c r="AF116" s="126" t="str">
        <f t="shared" si="0"/>
        <v>FDM22x - Manual call points</v>
      </c>
    </row>
    <row r="117" spans="1:32" hidden="1" outlineLevel="1" x14ac:dyDescent="0.25">
      <c r="A117" s="59"/>
      <c r="B117" s="141" t="s">
        <v>787</v>
      </c>
      <c r="C117" s="122">
        <v>0</v>
      </c>
      <c r="D117" s="115" t="s">
        <v>147</v>
      </c>
      <c r="E117" s="122">
        <v>0</v>
      </c>
      <c r="F117" s="138" t="s">
        <v>147</v>
      </c>
      <c r="G117" s="122">
        <v>0</v>
      </c>
      <c r="H117" s="138" t="s">
        <v>147</v>
      </c>
      <c r="I117" s="122">
        <v>0</v>
      </c>
      <c r="J117" s="138" t="s">
        <v>147</v>
      </c>
      <c r="K117" s="122">
        <v>0</v>
      </c>
      <c r="L117" s="138" t="s">
        <v>147</v>
      </c>
      <c r="M117" s="122">
        <v>0</v>
      </c>
      <c r="N117" s="138" t="s">
        <v>147</v>
      </c>
      <c r="O117" s="122">
        <v>0</v>
      </c>
      <c r="P117" s="138" t="s">
        <v>147</v>
      </c>
      <c r="Q117" s="122">
        <v>0</v>
      </c>
      <c r="R117" s="138" t="s">
        <v>147</v>
      </c>
      <c r="S117" s="61"/>
      <c r="U117" s="116">
        <f t="shared" si="1"/>
        <v>1</v>
      </c>
      <c r="V117" s="117">
        <v>1</v>
      </c>
      <c r="W117" s="118">
        <v>0</v>
      </c>
      <c r="X117" s="116">
        <f t="shared" si="2"/>
        <v>1</v>
      </c>
      <c r="Y117" s="117">
        <v>1</v>
      </c>
      <c r="Z117" s="118">
        <v>0</v>
      </c>
      <c r="AA117" s="124">
        <v>1</v>
      </c>
      <c r="AB117" s="125">
        <v>1</v>
      </c>
      <c r="AC117" s="125">
        <v>1</v>
      </c>
      <c r="AD117" s="117">
        <v>0</v>
      </c>
      <c r="AE117" s="117">
        <v>0</v>
      </c>
      <c r="AF117" s="126" t="str">
        <f t="shared" si="0"/>
        <v>FDM231 - Manual call point</v>
      </c>
    </row>
    <row r="118" spans="1:32" hidden="1" outlineLevel="1" x14ac:dyDescent="0.25">
      <c r="A118" s="59"/>
      <c r="B118" s="141" t="s">
        <v>954</v>
      </c>
      <c r="C118" s="122">
        <v>0</v>
      </c>
      <c r="D118" s="115" t="s">
        <v>147</v>
      </c>
      <c r="E118" s="122">
        <v>0</v>
      </c>
      <c r="F118" s="138" t="s">
        <v>147</v>
      </c>
      <c r="G118" s="122">
        <v>0</v>
      </c>
      <c r="H118" s="138" t="s">
        <v>147</v>
      </c>
      <c r="I118" s="122">
        <v>0</v>
      </c>
      <c r="J118" s="138" t="s">
        <v>147</v>
      </c>
      <c r="K118" s="122">
        <v>0</v>
      </c>
      <c r="L118" s="138" t="s">
        <v>147</v>
      </c>
      <c r="M118" s="122">
        <v>0</v>
      </c>
      <c r="N118" s="138" t="s">
        <v>147</v>
      </c>
      <c r="O118" s="122">
        <v>0</v>
      </c>
      <c r="P118" s="138" t="s">
        <v>147</v>
      </c>
      <c r="Q118" s="122">
        <v>0</v>
      </c>
      <c r="R118" s="138" t="s">
        <v>147</v>
      </c>
      <c r="S118" s="61"/>
      <c r="U118" s="116">
        <f t="shared" si="1"/>
        <v>1</v>
      </c>
      <c r="V118" s="117">
        <v>1</v>
      </c>
      <c r="W118" s="118">
        <v>0</v>
      </c>
      <c r="X118" s="116">
        <f t="shared" si="2"/>
        <v>1</v>
      </c>
      <c r="Y118" s="117">
        <v>1</v>
      </c>
      <c r="Z118" s="118">
        <v>0</v>
      </c>
      <c r="AA118" s="124">
        <v>1</v>
      </c>
      <c r="AB118" s="125">
        <v>1</v>
      </c>
      <c r="AC118" s="125">
        <v>1</v>
      </c>
      <c r="AD118" s="117">
        <v>0</v>
      </c>
      <c r="AE118" s="117">
        <v>0</v>
      </c>
      <c r="AF118" s="126" t="str">
        <f t="shared" si="0"/>
        <v>FDM365-RP - Resettable MCP</v>
      </c>
    </row>
    <row r="119" spans="1:32" hidden="1" x14ac:dyDescent="0.25">
      <c r="A119" s="59"/>
      <c r="B119" s="141"/>
      <c r="C119" s="122"/>
      <c r="D119" s="115"/>
      <c r="E119" s="122"/>
      <c r="F119" s="138"/>
      <c r="G119" s="122"/>
      <c r="H119" s="138"/>
      <c r="I119" s="122"/>
      <c r="J119" s="138"/>
      <c r="K119" s="122"/>
      <c r="L119" s="138"/>
      <c r="M119" s="122"/>
      <c r="N119" s="138"/>
      <c r="O119" s="122"/>
      <c r="P119" s="138"/>
      <c r="Q119" s="122"/>
      <c r="R119" s="138"/>
      <c r="S119" s="61"/>
      <c r="U119" s="116">
        <f t="shared" si="1"/>
        <v>0</v>
      </c>
      <c r="V119" s="117"/>
      <c r="W119" s="118"/>
      <c r="X119" s="116">
        <f t="shared" si="2"/>
        <v>0</v>
      </c>
      <c r="Y119" s="117"/>
      <c r="Z119" s="118"/>
      <c r="AA119" s="124"/>
      <c r="AB119" s="125"/>
      <c r="AC119" s="125"/>
      <c r="AD119" s="117"/>
      <c r="AE119" s="117"/>
      <c r="AF119" s="126">
        <f t="shared" si="0"/>
        <v>0</v>
      </c>
    </row>
    <row r="120" spans="1:32" hidden="1" x14ac:dyDescent="0.25">
      <c r="A120" s="59"/>
      <c r="B120" s="141"/>
      <c r="C120" s="122"/>
      <c r="D120" s="115"/>
      <c r="E120" s="122"/>
      <c r="F120" s="138"/>
      <c r="G120" s="122"/>
      <c r="H120" s="138"/>
      <c r="I120" s="122"/>
      <c r="J120" s="138"/>
      <c r="K120" s="122"/>
      <c r="L120" s="138"/>
      <c r="M120" s="122"/>
      <c r="N120" s="138"/>
      <c r="O120" s="122"/>
      <c r="P120" s="138"/>
      <c r="Q120" s="122"/>
      <c r="R120" s="138"/>
      <c r="S120" s="61"/>
      <c r="U120" s="116">
        <f t="shared" si="1"/>
        <v>0</v>
      </c>
      <c r="V120" s="117"/>
      <c r="W120" s="118"/>
      <c r="X120" s="116">
        <f t="shared" si="2"/>
        <v>0</v>
      </c>
      <c r="Y120" s="117"/>
      <c r="Z120" s="118"/>
      <c r="AA120" s="124"/>
      <c r="AB120" s="125"/>
      <c r="AC120" s="125"/>
      <c r="AD120" s="117"/>
      <c r="AE120" s="117"/>
      <c r="AF120" s="126">
        <f t="shared" si="0"/>
        <v>0</v>
      </c>
    </row>
    <row r="121" spans="1:32" hidden="1" x14ac:dyDescent="0.25">
      <c r="A121" s="59"/>
      <c r="B121" s="141"/>
      <c r="C121" s="122"/>
      <c r="D121" s="115"/>
      <c r="E121" s="122"/>
      <c r="F121" s="138"/>
      <c r="G121" s="122"/>
      <c r="H121" s="138"/>
      <c r="I121" s="122"/>
      <c r="J121" s="138"/>
      <c r="K121" s="122"/>
      <c r="L121" s="138"/>
      <c r="M121" s="122"/>
      <c r="N121" s="138"/>
      <c r="O121" s="122"/>
      <c r="P121" s="138"/>
      <c r="Q121" s="122"/>
      <c r="R121" s="138"/>
      <c r="S121" s="61"/>
      <c r="U121" s="116">
        <f t="shared" si="1"/>
        <v>0</v>
      </c>
      <c r="V121" s="117"/>
      <c r="W121" s="118"/>
      <c r="X121" s="116">
        <f t="shared" si="2"/>
        <v>0</v>
      </c>
      <c r="Y121" s="117"/>
      <c r="Z121" s="118"/>
      <c r="AA121" s="124"/>
      <c r="AB121" s="125"/>
      <c r="AC121" s="125"/>
      <c r="AD121" s="117"/>
      <c r="AE121" s="117"/>
      <c r="AF121" s="126">
        <f t="shared" si="0"/>
        <v>0</v>
      </c>
    </row>
    <row r="122" spans="1:32" hidden="1" x14ac:dyDescent="0.25">
      <c r="A122" s="59"/>
      <c r="B122" s="141"/>
      <c r="C122" s="122"/>
      <c r="D122" s="115"/>
      <c r="E122" s="122"/>
      <c r="F122" s="138"/>
      <c r="G122" s="122"/>
      <c r="H122" s="138"/>
      <c r="I122" s="122"/>
      <c r="J122" s="138"/>
      <c r="K122" s="122"/>
      <c r="L122" s="138"/>
      <c r="M122" s="122"/>
      <c r="N122" s="138"/>
      <c r="O122" s="122"/>
      <c r="P122" s="138"/>
      <c r="Q122" s="122"/>
      <c r="R122" s="138"/>
      <c r="S122" s="61"/>
      <c r="U122" s="116">
        <f t="shared" si="1"/>
        <v>0</v>
      </c>
      <c r="V122" s="117"/>
      <c r="W122" s="118"/>
      <c r="X122" s="116">
        <f t="shared" si="2"/>
        <v>0</v>
      </c>
      <c r="Y122" s="117"/>
      <c r="Z122" s="118"/>
      <c r="AA122" s="124"/>
      <c r="AB122" s="125"/>
      <c r="AC122" s="125"/>
      <c r="AD122" s="117"/>
      <c r="AE122" s="117"/>
      <c r="AF122" s="126">
        <f t="shared" si="0"/>
        <v>0</v>
      </c>
    </row>
    <row r="123" spans="1:32" hidden="1" x14ac:dyDescent="0.25">
      <c r="A123" s="59"/>
      <c r="B123" s="141"/>
      <c r="C123" s="122"/>
      <c r="D123" s="115"/>
      <c r="E123" s="122"/>
      <c r="F123" s="138"/>
      <c r="G123" s="122"/>
      <c r="H123" s="138"/>
      <c r="I123" s="122"/>
      <c r="J123" s="138"/>
      <c r="K123" s="122"/>
      <c r="L123" s="138"/>
      <c r="M123" s="122"/>
      <c r="N123" s="138"/>
      <c r="O123" s="122"/>
      <c r="P123" s="138"/>
      <c r="Q123" s="122"/>
      <c r="R123" s="138"/>
      <c r="S123" s="61"/>
      <c r="U123" s="116">
        <f t="shared" si="1"/>
        <v>0</v>
      </c>
      <c r="V123" s="117"/>
      <c r="W123" s="118"/>
      <c r="X123" s="116">
        <f t="shared" si="2"/>
        <v>0</v>
      </c>
      <c r="Y123" s="117"/>
      <c r="Z123" s="118"/>
      <c r="AA123" s="124"/>
      <c r="AB123" s="125"/>
      <c r="AC123" s="125"/>
      <c r="AD123" s="117"/>
      <c r="AE123" s="117"/>
      <c r="AF123" s="126">
        <f t="shared" si="0"/>
        <v>0</v>
      </c>
    </row>
    <row r="124" spans="1:32" hidden="1" x14ac:dyDescent="0.25">
      <c r="A124" s="59"/>
      <c r="B124" s="141"/>
      <c r="C124" s="122"/>
      <c r="D124" s="115"/>
      <c r="E124" s="122"/>
      <c r="F124" s="138"/>
      <c r="G124" s="122"/>
      <c r="H124" s="138"/>
      <c r="I124" s="122"/>
      <c r="J124" s="138"/>
      <c r="K124" s="122"/>
      <c r="L124" s="138"/>
      <c r="M124" s="122"/>
      <c r="N124" s="138"/>
      <c r="O124" s="122"/>
      <c r="P124" s="138"/>
      <c r="Q124" s="122"/>
      <c r="R124" s="138"/>
      <c r="S124" s="61"/>
      <c r="U124" s="116">
        <f t="shared" si="1"/>
        <v>0</v>
      </c>
      <c r="V124" s="117"/>
      <c r="W124" s="118"/>
      <c r="X124" s="116">
        <f t="shared" si="2"/>
        <v>0</v>
      </c>
      <c r="Y124" s="117"/>
      <c r="Z124" s="118"/>
      <c r="AA124" s="124"/>
      <c r="AB124" s="125"/>
      <c r="AC124" s="125"/>
      <c r="AD124" s="117"/>
      <c r="AE124" s="117"/>
      <c r="AF124" s="126">
        <f t="shared" si="0"/>
        <v>0</v>
      </c>
    </row>
    <row r="125" spans="1:32" hidden="1" x14ac:dyDescent="0.25">
      <c r="A125" s="59"/>
      <c r="B125" s="141"/>
      <c r="C125" s="122"/>
      <c r="D125" s="115"/>
      <c r="E125" s="122"/>
      <c r="F125" s="138"/>
      <c r="G125" s="122"/>
      <c r="H125" s="138"/>
      <c r="I125" s="122"/>
      <c r="J125" s="138"/>
      <c r="K125" s="122"/>
      <c r="L125" s="138"/>
      <c r="M125" s="122"/>
      <c r="N125" s="138"/>
      <c r="O125" s="122"/>
      <c r="P125" s="138"/>
      <c r="Q125" s="122"/>
      <c r="R125" s="138"/>
      <c r="S125" s="61"/>
      <c r="U125" s="116">
        <f t="shared" si="1"/>
        <v>0</v>
      </c>
      <c r="V125" s="117"/>
      <c r="W125" s="118"/>
      <c r="X125" s="116">
        <f t="shared" si="2"/>
        <v>0</v>
      </c>
      <c r="Y125" s="117"/>
      <c r="Z125" s="118"/>
      <c r="AA125" s="124"/>
      <c r="AB125" s="125"/>
      <c r="AC125" s="125"/>
      <c r="AD125" s="117"/>
      <c r="AE125" s="117"/>
      <c r="AF125" s="126">
        <f t="shared" si="0"/>
        <v>0</v>
      </c>
    </row>
    <row r="126" spans="1:32" hidden="1" x14ac:dyDescent="0.25">
      <c r="A126" s="59"/>
      <c r="B126" s="141"/>
      <c r="C126" s="122"/>
      <c r="D126" s="115"/>
      <c r="E126" s="122"/>
      <c r="F126" s="138"/>
      <c r="G126" s="122"/>
      <c r="H126" s="138"/>
      <c r="I126" s="122"/>
      <c r="J126" s="138"/>
      <c r="K126" s="122"/>
      <c r="L126" s="138"/>
      <c r="M126" s="122"/>
      <c r="N126" s="138"/>
      <c r="O126" s="122"/>
      <c r="P126" s="138"/>
      <c r="Q126" s="122"/>
      <c r="R126" s="138"/>
      <c r="S126" s="61"/>
      <c r="U126" s="116">
        <f t="shared" si="1"/>
        <v>0</v>
      </c>
      <c r="V126" s="117"/>
      <c r="W126" s="118"/>
      <c r="X126" s="116">
        <f t="shared" si="2"/>
        <v>0</v>
      </c>
      <c r="Y126" s="117"/>
      <c r="Z126" s="118"/>
      <c r="AA126" s="124"/>
      <c r="AB126" s="125"/>
      <c r="AC126" s="125"/>
      <c r="AD126" s="117"/>
      <c r="AE126" s="117"/>
      <c r="AF126" s="126">
        <f t="shared" si="0"/>
        <v>0</v>
      </c>
    </row>
    <row r="127" spans="1:32" ht="13" collapsed="1" x14ac:dyDescent="0.25">
      <c r="A127" s="59"/>
      <c r="B127" s="660" t="s">
        <v>260</v>
      </c>
      <c r="C127" s="130"/>
      <c r="D127" s="130"/>
      <c r="E127" s="130"/>
      <c r="F127" s="130"/>
      <c r="G127" s="130"/>
      <c r="H127" s="130"/>
      <c r="I127" s="130"/>
      <c r="J127" s="130"/>
      <c r="K127" s="130"/>
      <c r="L127" s="130"/>
      <c r="M127" s="130"/>
      <c r="N127" s="130"/>
      <c r="O127" s="130"/>
      <c r="P127" s="130"/>
      <c r="Q127" s="130"/>
      <c r="R127" s="131"/>
      <c r="S127" s="94"/>
      <c r="U127" s="132"/>
      <c r="V127" s="133"/>
      <c r="W127" s="134"/>
      <c r="X127" s="132"/>
      <c r="Y127" s="133"/>
      <c r="Z127" s="134"/>
      <c r="AA127" s="142"/>
      <c r="AB127" s="136"/>
      <c r="AC127" s="136"/>
      <c r="AD127" s="136"/>
      <c r="AE127" s="136"/>
      <c r="AF127" s="137" t="str">
        <f t="shared" si="0"/>
        <v>Line modules</v>
      </c>
    </row>
    <row r="128" spans="1:32" hidden="1" outlineLevel="1" x14ac:dyDescent="0.25">
      <c r="A128" s="59"/>
      <c r="B128" s="121" t="s">
        <v>261</v>
      </c>
      <c r="C128" s="122">
        <v>0</v>
      </c>
      <c r="D128" s="113" t="s">
        <v>147</v>
      </c>
      <c r="E128" s="123">
        <v>0</v>
      </c>
      <c r="F128" s="115" t="s">
        <v>147</v>
      </c>
      <c r="G128" s="122">
        <v>0</v>
      </c>
      <c r="H128" s="113" t="s">
        <v>147</v>
      </c>
      <c r="I128" s="123">
        <v>0</v>
      </c>
      <c r="J128" s="115" t="s">
        <v>147</v>
      </c>
      <c r="K128" s="122">
        <v>0</v>
      </c>
      <c r="L128" s="113" t="s">
        <v>147</v>
      </c>
      <c r="M128" s="123">
        <v>0</v>
      </c>
      <c r="N128" s="115" t="s">
        <v>147</v>
      </c>
      <c r="O128" s="122">
        <v>0</v>
      </c>
      <c r="P128" s="113" t="s">
        <v>147</v>
      </c>
      <c r="Q128" s="123">
        <v>0</v>
      </c>
      <c r="R128" s="115" t="s">
        <v>147</v>
      </c>
      <c r="S128" s="61"/>
      <c r="U128" s="116">
        <f t="shared" si="1"/>
        <v>2</v>
      </c>
      <c r="V128" s="117">
        <v>2</v>
      </c>
      <c r="W128" s="118">
        <v>0</v>
      </c>
      <c r="X128" s="116">
        <f t="shared" si="2"/>
        <v>2</v>
      </c>
      <c r="Y128" s="117">
        <v>2</v>
      </c>
      <c r="Z128" s="118">
        <v>0</v>
      </c>
      <c r="AA128" s="124">
        <v>1</v>
      </c>
      <c r="AB128" s="125">
        <v>1</v>
      </c>
      <c r="AC128" s="125">
        <v>0</v>
      </c>
      <c r="AD128" s="117">
        <v>0</v>
      </c>
      <c r="AE128" s="117">
        <v>0</v>
      </c>
      <c r="AF128" s="126" t="str">
        <f t="shared" si="0"/>
        <v>FDCI221 - Input module (1I)</v>
      </c>
    </row>
    <row r="129" spans="1:32" hidden="1" outlineLevel="1" x14ac:dyDescent="0.25">
      <c r="A129" s="59"/>
      <c r="B129" s="121" t="s">
        <v>262</v>
      </c>
      <c r="C129" s="122">
        <v>0</v>
      </c>
      <c r="D129" s="113" t="s">
        <v>147</v>
      </c>
      <c r="E129" s="123">
        <v>0</v>
      </c>
      <c r="F129" s="115" t="s">
        <v>147</v>
      </c>
      <c r="G129" s="122">
        <v>0</v>
      </c>
      <c r="H129" s="113" t="s">
        <v>147</v>
      </c>
      <c r="I129" s="123">
        <v>0</v>
      </c>
      <c r="J129" s="115" t="s">
        <v>147</v>
      </c>
      <c r="K129" s="122">
        <v>0</v>
      </c>
      <c r="L129" s="113" t="s">
        <v>147</v>
      </c>
      <c r="M129" s="123">
        <v>0</v>
      </c>
      <c r="N129" s="115" t="s">
        <v>147</v>
      </c>
      <c r="O129" s="122">
        <v>0</v>
      </c>
      <c r="P129" s="113" t="s">
        <v>147</v>
      </c>
      <c r="Q129" s="123">
        <v>0</v>
      </c>
      <c r="R129" s="115" t="s">
        <v>147</v>
      </c>
      <c r="S129" s="61"/>
      <c r="U129" s="116">
        <f t="shared" si="1"/>
        <v>2</v>
      </c>
      <c r="V129" s="117">
        <v>2</v>
      </c>
      <c r="W129" s="118">
        <v>0</v>
      </c>
      <c r="X129" s="116">
        <f t="shared" si="2"/>
        <v>2</v>
      </c>
      <c r="Y129" s="117">
        <v>2</v>
      </c>
      <c r="Z129" s="118">
        <v>0</v>
      </c>
      <c r="AA129" s="124">
        <v>1</v>
      </c>
      <c r="AB129" s="125">
        <v>1</v>
      </c>
      <c r="AC129" s="125">
        <v>0</v>
      </c>
      <c r="AD129" s="117">
        <v>0</v>
      </c>
      <c r="AE129" s="117">
        <v>0</v>
      </c>
      <c r="AF129" s="126" t="str">
        <f t="shared" si="0"/>
        <v>FDCI222 - Input module (4I)</v>
      </c>
    </row>
    <row r="130" spans="1:32" hidden="1" outlineLevel="1" x14ac:dyDescent="0.25">
      <c r="A130" s="59"/>
      <c r="B130" s="121" t="s">
        <v>263</v>
      </c>
      <c r="C130" s="122">
        <v>0</v>
      </c>
      <c r="D130" s="113" t="s">
        <v>147</v>
      </c>
      <c r="E130" s="123">
        <v>0</v>
      </c>
      <c r="F130" s="115" t="s">
        <v>147</v>
      </c>
      <c r="G130" s="122">
        <v>0</v>
      </c>
      <c r="H130" s="113" t="s">
        <v>147</v>
      </c>
      <c r="I130" s="123">
        <v>0</v>
      </c>
      <c r="J130" s="115" t="s">
        <v>147</v>
      </c>
      <c r="K130" s="122">
        <v>0</v>
      </c>
      <c r="L130" s="113" t="s">
        <v>147</v>
      </c>
      <c r="M130" s="123">
        <v>0</v>
      </c>
      <c r="N130" s="115" t="s">
        <v>147</v>
      </c>
      <c r="O130" s="122">
        <v>0</v>
      </c>
      <c r="P130" s="113" t="s">
        <v>147</v>
      </c>
      <c r="Q130" s="123">
        <v>0</v>
      </c>
      <c r="R130" s="115" t="s">
        <v>147</v>
      </c>
      <c r="S130" s="61"/>
      <c r="U130" s="116">
        <f t="shared" si="1"/>
        <v>2</v>
      </c>
      <c r="V130" s="117">
        <v>2</v>
      </c>
      <c r="W130" s="118">
        <v>0</v>
      </c>
      <c r="X130" s="116">
        <f t="shared" si="2"/>
        <v>2</v>
      </c>
      <c r="Y130" s="117">
        <v>2</v>
      </c>
      <c r="Z130" s="118">
        <v>0</v>
      </c>
      <c r="AA130" s="124">
        <v>1</v>
      </c>
      <c r="AB130" s="125">
        <v>1</v>
      </c>
      <c r="AC130" s="125">
        <v>0</v>
      </c>
      <c r="AD130" s="117">
        <v>0</v>
      </c>
      <c r="AE130" s="117">
        <v>0</v>
      </c>
      <c r="AF130" s="126" t="str">
        <f t="shared" si="0"/>
        <v>FDCIO221 - In/Output module (1I&amp;1O)</v>
      </c>
    </row>
    <row r="131" spans="1:32" hidden="1" outlineLevel="1" x14ac:dyDescent="0.25">
      <c r="A131" s="59"/>
      <c r="B131" s="121" t="s">
        <v>264</v>
      </c>
      <c r="C131" s="122">
        <v>0</v>
      </c>
      <c r="D131" s="113" t="s">
        <v>147</v>
      </c>
      <c r="E131" s="123">
        <v>0</v>
      </c>
      <c r="F131" s="115" t="s">
        <v>147</v>
      </c>
      <c r="G131" s="122">
        <v>0</v>
      </c>
      <c r="H131" s="113" t="s">
        <v>147</v>
      </c>
      <c r="I131" s="123">
        <v>0</v>
      </c>
      <c r="J131" s="115" t="s">
        <v>147</v>
      </c>
      <c r="K131" s="122">
        <v>0</v>
      </c>
      <c r="L131" s="113" t="s">
        <v>147</v>
      </c>
      <c r="M131" s="123">
        <v>0</v>
      </c>
      <c r="N131" s="115" t="s">
        <v>147</v>
      </c>
      <c r="O131" s="122">
        <v>0</v>
      </c>
      <c r="P131" s="113" t="s">
        <v>147</v>
      </c>
      <c r="Q131" s="123">
        <v>0</v>
      </c>
      <c r="R131" s="115" t="s">
        <v>147</v>
      </c>
      <c r="S131" s="61"/>
      <c r="U131" s="116">
        <f t="shared" si="1"/>
        <v>3</v>
      </c>
      <c r="V131" s="117">
        <v>3</v>
      </c>
      <c r="W131" s="118">
        <v>0</v>
      </c>
      <c r="X131" s="116">
        <f t="shared" si="2"/>
        <v>3</v>
      </c>
      <c r="Y131" s="117">
        <v>3</v>
      </c>
      <c r="Z131" s="118">
        <v>0</v>
      </c>
      <c r="AA131" s="124">
        <v>1</v>
      </c>
      <c r="AB131" s="125">
        <v>1</v>
      </c>
      <c r="AC131" s="125">
        <v>0</v>
      </c>
      <c r="AD131" s="117">
        <v>0</v>
      </c>
      <c r="AE131" s="117">
        <v>0</v>
      </c>
      <c r="AF131" s="126" t="str">
        <f t="shared" si="0"/>
        <v>FDCIO222 - In/Output module (4I&amp;4O)</v>
      </c>
    </row>
    <row r="132" spans="1:32" hidden="1" outlineLevel="1" x14ac:dyDescent="0.25">
      <c r="A132" s="59"/>
      <c r="B132" s="121" t="s">
        <v>788</v>
      </c>
      <c r="C132" s="122">
        <v>0</v>
      </c>
      <c r="D132" s="113" t="s">
        <v>147</v>
      </c>
      <c r="E132" s="123">
        <v>0</v>
      </c>
      <c r="F132" s="115" t="s">
        <v>147</v>
      </c>
      <c r="G132" s="122">
        <v>0</v>
      </c>
      <c r="H132" s="113" t="s">
        <v>147</v>
      </c>
      <c r="I132" s="123">
        <v>0</v>
      </c>
      <c r="J132" s="115" t="s">
        <v>147</v>
      </c>
      <c r="K132" s="122">
        <v>0</v>
      </c>
      <c r="L132" s="113" t="s">
        <v>147</v>
      </c>
      <c r="M132" s="123">
        <v>0</v>
      </c>
      <c r="N132" s="115" t="s">
        <v>147</v>
      </c>
      <c r="O132" s="122">
        <v>0</v>
      </c>
      <c r="P132" s="113" t="s">
        <v>147</v>
      </c>
      <c r="Q132" s="123">
        <v>0</v>
      </c>
      <c r="R132" s="115" t="s">
        <v>147</v>
      </c>
      <c r="S132" s="61"/>
      <c r="U132" s="116">
        <f t="shared" si="1"/>
        <v>3</v>
      </c>
      <c r="V132" s="117">
        <v>3</v>
      </c>
      <c r="W132" s="118">
        <v>0</v>
      </c>
      <c r="X132" s="116">
        <f t="shared" si="2"/>
        <v>3</v>
      </c>
      <c r="Y132" s="117">
        <v>3</v>
      </c>
      <c r="Z132" s="118">
        <v>0</v>
      </c>
      <c r="AA132" s="124">
        <v>1</v>
      </c>
      <c r="AB132" s="125">
        <v>1</v>
      </c>
      <c r="AC132" s="125">
        <v>0</v>
      </c>
      <c r="AD132" s="117">
        <v>0</v>
      </c>
      <c r="AE132" s="117">
        <v>0</v>
      </c>
      <c r="AF132" s="126" t="str">
        <f t="shared" si="0"/>
        <v>FDCIO224 - In/Output module (4I&amp;4O)</v>
      </c>
    </row>
    <row r="133" spans="1:32" hidden="1" outlineLevel="1" x14ac:dyDescent="0.25">
      <c r="A133" s="59"/>
      <c r="B133" s="121" t="s">
        <v>789</v>
      </c>
      <c r="C133" s="122">
        <v>0</v>
      </c>
      <c r="D133" s="113" t="s">
        <v>147</v>
      </c>
      <c r="E133" s="123">
        <v>0</v>
      </c>
      <c r="F133" s="115" t="s">
        <v>147</v>
      </c>
      <c r="G133" s="122">
        <v>0</v>
      </c>
      <c r="H133" s="113" t="s">
        <v>147</v>
      </c>
      <c r="I133" s="123">
        <v>0</v>
      </c>
      <c r="J133" s="115" t="s">
        <v>147</v>
      </c>
      <c r="K133" s="122">
        <v>0</v>
      </c>
      <c r="L133" s="113" t="s">
        <v>147</v>
      </c>
      <c r="M133" s="123">
        <v>0</v>
      </c>
      <c r="N133" s="115" t="s">
        <v>147</v>
      </c>
      <c r="O133" s="122">
        <v>0</v>
      </c>
      <c r="P133" s="113" t="s">
        <v>147</v>
      </c>
      <c r="Q133" s="123">
        <v>0</v>
      </c>
      <c r="R133" s="115" t="s">
        <v>147</v>
      </c>
      <c r="S133" s="61"/>
      <c r="U133" s="116">
        <f t="shared" si="1"/>
        <v>1</v>
      </c>
      <c r="V133" s="117">
        <v>1</v>
      </c>
      <c r="W133" s="118">
        <v>0</v>
      </c>
      <c r="X133" s="116">
        <f t="shared" si="2"/>
        <v>1</v>
      </c>
      <c r="Y133" s="117">
        <v>1</v>
      </c>
      <c r="Z133" s="118">
        <v>0</v>
      </c>
      <c r="AA133" s="124">
        <v>1</v>
      </c>
      <c r="AB133" s="125">
        <v>1</v>
      </c>
      <c r="AC133" s="125">
        <v>0</v>
      </c>
      <c r="AD133" s="117">
        <v>0</v>
      </c>
      <c r="AE133" s="117">
        <v>0</v>
      </c>
      <c r="AF133" s="126" t="str">
        <f t="shared" si="0"/>
        <v>FDCL221 - Line isolator</v>
      </c>
    </row>
    <row r="134" spans="1:32" hidden="1" outlineLevel="1" x14ac:dyDescent="0.25">
      <c r="A134" s="59"/>
      <c r="B134" s="121" t="s">
        <v>790</v>
      </c>
      <c r="C134" s="122">
        <v>0</v>
      </c>
      <c r="D134" s="113" t="s">
        <v>147</v>
      </c>
      <c r="E134" s="123">
        <v>0</v>
      </c>
      <c r="F134" s="115" t="s">
        <v>147</v>
      </c>
      <c r="G134" s="122">
        <v>0</v>
      </c>
      <c r="H134" s="113" t="s">
        <v>147</v>
      </c>
      <c r="I134" s="123">
        <v>0</v>
      </c>
      <c r="J134" s="115" t="s">
        <v>147</v>
      </c>
      <c r="K134" s="122">
        <v>0</v>
      </c>
      <c r="L134" s="113" t="s">
        <v>147</v>
      </c>
      <c r="M134" s="123">
        <v>0</v>
      </c>
      <c r="N134" s="115" t="s">
        <v>147</v>
      </c>
      <c r="O134" s="122">
        <v>0</v>
      </c>
      <c r="P134" s="113" t="s">
        <v>147</v>
      </c>
      <c r="Q134" s="123">
        <v>0</v>
      </c>
      <c r="R134" s="115" t="s">
        <v>147</v>
      </c>
      <c r="S134" s="61"/>
      <c r="U134" s="116">
        <f t="shared" si="1"/>
        <v>9</v>
      </c>
      <c r="V134" s="117">
        <v>9</v>
      </c>
      <c r="W134" s="118">
        <v>0</v>
      </c>
      <c r="X134" s="116">
        <f t="shared" si="2"/>
        <v>9</v>
      </c>
      <c r="Y134" s="117">
        <v>9</v>
      </c>
      <c r="Z134" s="118">
        <v>0</v>
      </c>
      <c r="AA134" s="124">
        <v>9</v>
      </c>
      <c r="AB134" s="125">
        <v>9</v>
      </c>
      <c r="AC134" s="125">
        <v>0</v>
      </c>
      <c r="AD134" s="117">
        <v>0</v>
      </c>
      <c r="AE134" s="117">
        <v>0</v>
      </c>
      <c r="AF134" s="126" t="str">
        <f t="shared" si="0"/>
        <v>FDCL221-M - Multi line isolator</v>
      </c>
    </row>
    <row r="135" spans="1:32" hidden="1" outlineLevel="1" x14ac:dyDescent="0.25">
      <c r="A135" s="59"/>
      <c r="B135" s="121" t="s">
        <v>791</v>
      </c>
      <c r="C135" s="122">
        <v>0</v>
      </c>
      <c r="D135" s="113" t="s">
        <v>147</v>
      </c>
      <c r="E135" s="123">
        <v>0</v>
      </c>
      <c r="F135" s="115" t="s">
        <v>147</v>
      </c>
      <c r="G135" s="122">
        <v>0</v>
      </c>
      <c r="H135" s="113" t="s">
        <v>147</v>
      </c>
      <c r="I135" s="123">
        <v>0</v>
      </c>
      <c r="J135" s="115" t="s">
        <v>147</v>
      </c>
      <c r="K135" s="122">
        <v>0</v>
      </c>
      <c r="L135" s="113" t="s">
        <v>147</v>
      </c>
      <c r="M135" s="123">
        <v>0</v>
      </c>
      <c r="N135" s="115" t="s">
        <v>147</v>
      </c>
      <c r="O135" s="122">
        <v>0</v>
      </c>
      <c r="P135" s="113" t="s">
        <v>147</v>
      </c>
      <c r="Q135" s="123">
        <v>0</v>
      </c>
      <c r="R135" s="115" t="s">
        <v>147</v>
      </c>
      <c r="S135" s="61"/>
      <c r="U135" s="116">
        <f t="shared" si="1"/>
        <v>3</v>
      </c>
      <c r="V135" s="117">
        <v>3</v>
      </c>
      <c r="W135" s="118">
        <v>0</v>
      </c>
      <c r="X135" s="116">
        <f t="shared" si="2"/>
        <v>3</v>
      </c>
      <c r="Y135" s="117">
        <v>3</v>
      </c>
      <c r="Z135" s="118">
        <v>0</v>
      </c>
      <c r="AA135" s="124">
        <v>1</v>
      </c>
      <c r="AB135" s="125">
        <v>1</v>
      </c>
      <c r="AC135" s="125">
        <v>0</v>
      </c>
      <c r="AD135" s="117">
        <v>0</v>
      </c>
      <c r="AE135" s="117">
        <v>0</v>
      </c>
      <c r="AF135" s="126" t="str">
        <f t="shared" si="0"/>
        <v>FDCI723 - Zone module, ext. powered (1 collective line)</v>
      </c>
    </row>
    <row r="136" spans="1:32" hidden="1" outlineLevel="1" x14ac:dyDescent="0.25">
      <c r="A136" s="59"/>
      <c r="B136" s="121" t="s">
        <v>792</v>
      </c>
      <c r="C136" s="122">
        <v>0</v>
      </c>
      <c r="D136" s="113" t="s">
        <v>147</v>
      </c>
      <c r="E136" s="123">
        <v>0</v>
      </c>
      <c r="F136" s="115" t="s">
        <v>147</v>
      </c>
      <c r="G136" s="122">
        <v>0</v>
      </c>
      <c r="H136" s="113" t="s">
        <v>147</v>
      </c>
      <c r="I136" s="123">
        <v>0</v>
      </c>
      <c r="J136" s="115" t="s">
        <v>147</v>
      </c>
      <c r="K136" s="122">
        <v>0</v>
      </c>
      <c r="L136" s="113" t="s">
        <v>147</v>
      </c>
      <c r="M136" s="123">
        <v>0</v>
      </c>
      <c r="N136" s="115" t="s">
        <v>147</v>
      </c>
      <c r="O136" s="122">
        <v>0</v>
      </c>
      <c r="P136" s="113" t="s">
        <v>147</v>
      </c>
      <c r="Q136" s="123">
        <v>0</v>
      </c>
      <c r="R136" s="115" t="s">
        <v>147</v>
      </c>
      <c r="S136" s="61"/>
      <c r="U136" s="116">
        <f t="shared" si="1"/>
        <v>2</v>
      </c>
      <c r="V136" s="117">
        <v>2</v>
      </c>
      <c r="W136" s="118">
        <v>0</v>
      </c>
      <c r="X136" s="116">
        <f t="shared" si="2"/>
        <v>2</v>
      </c>
      <c r="Y136" s="117">
        <v>2</v>
      </c>
      <c r="Z136" s="118">
        <v>0</v>
      </c>
      <c r="AA136" s="124">
        <v>1</v>
      </c>
      <c r="AB136" s="125">
        <v>1</v>
      </c>
      <c r="AC136" s="125">
        <v>0</v>
      </c>
      <c r="AD136" s="117">
        <v>0</v>
      </c>
      <c r="AE136" s="117">
        <v>0</v>
      </c>
      <c r="AF136" s="126" t="str">
        <f>B136</f>
        <v>FDCI361 - Input module</v>
      </c>
    </row>
    <row r="137" spans="1:32" hidden="1" outlineLevel="1" x14ac:dyDescent="0.25">
      <c r="A137" s="59"/>
      <c r="B137" s="121" t="s">
        <v>793</v>
      </c>
      <c r="C137" s="122">
        <v>0</v>
      </c>
      <c r="D137" s="115" t="s">
        <v>147</v>
      </c>
      <c r="E137" s="122">
        <v>0</v>
      </c>
      <c r="F137" s="138" t="s">
        <v>147</v>
      </c>
      <c r="G137" s="122">
        <v>0</v>
      </c>
      <c r="H137" s="138" t="s">
        <v>147</v>
      </c>
      <c r="I137" s="122">
        <v>0</v>
      </c>
      <c r="J137" s="138" t="s">
        <v>147</v>
      </c>
      <c r="K137" s="122">
        <v>0</v>
      </c>
      <c r="L137" s="138" t="s">
        <v>147</v>
      </c>
      <c r="M137" s="122">
        <v>0</v>
      </c>
      <c r="N137" s="138" t="s">
        <v>147</v>
      </c>
      <c r="O137" s="122">
        <v>0</v>
      </c>
      <c r="P137" s="138" t="s">
        <v>147</v>
      </c>
      <c r="Q137" s="122">
        <v>0</v>
      </c>
      <c r="R137" s="138" t="s">
        <v>147</v>
      </c>
      <c r="S137" s="61"/>
      <c r="U137" s="116">
        <f t="shared" si="1"/>
        <v>2</v>
      </c>
      <c r="V137" s="117">
        <v>2</v>
      </c>
      <c r="W137" s="118">
        <v>0</v>
      </c>
      <c r="X137" s="116">
        <f t="shared" si="2"/>
        <v>2</v>
      </c>
      <c r="Y137" s="117">
        <v>2</v>
      </c>
      <c r="Z137" s="118">
        <v>0</v>
      </c>
      <c r="AA137" s="124">
        <v>1</v>
      </c>
      <c r="AB137" s="125">
        <v>1</v>
      </c>
      <c r="AC137" s="125">
        <v>0</v>
      </c>
      <c r="AD137" s="117">
        <v>0</v>
      </c>
      <c r="AE137" s="117">
        <v>0</v>
      </c>
      <c r="AF137" s="126" t="str">
        <f t="shared" si="0"/>
        <v>FDCIO361 - Input/Output module</v>
      </c>
    </row>
    <row r="138" spans="1:32" hidden="1" x14ac:dyDescent="0.25">
      <c r="A138" s="59"/>
      <c r="B138" s="121"/>
      <c r="C138" s="122"/>
      <c r="D138" s="115"/>
      <c r="E138" s="122"/>
      <c r="F138" s="138"/>
      <c r="G138" s="122"/>
      <c r="H138" s="138"/>
      <c r="I138" s="122"/>
      <c r="J138" s="138"/>
      <c r="K138" s="122"/>
      <c r="L138" s="138"/>
      <c r="M138" s="122"/>
      <c r="N138" s="138"/>
      <c r="O138" s="122"/>
      <c r="P138" s="138"/>
      <c r="Q138" s="122"/>
      <c r="R138" s="138"/>
      <c r="S138" s="61"/>
      <c r="U138" s="143"/>
      <c r="V138" s="117"/>
      <c r="W138" s="139"/>
      <c r="X138" s="143"/>
      <c r="Y138" s="117"/>
      <c r="Z138" s="139"/>
      <c r="AA138" s="124"/>
      <c r="AB138" s="125"/>
      <c r="AC138" s="125"/>
      <c r="AD138" s="117"/>
      <c r="AE138" s="117"/>
      <c r="AF138" s="126">
        <f t="shared" si="0"/>
        <v>0</v>
      </c>
    </row>
    <row r="139" spans="1:32" hidden="1" x14ac:dyDescent="0.25">
      <c r="A139" s="59"/>
      <c r="B139" s="121"/>
      <c r="C139" s="122"/>
      <c r="D139" s="115"/>
      <c r="E139" s="122"/>
      <c r="F139" s="138"/>
      <c r="G139" s="122"/>
      <c r="H139" s="138"/>
      <c r="I139" s="122"/>
      <c r="J139" s="138"/>
      <c r="K139" s="122"/>
      <c r="L139" s="138"/>
      <c r="M139" s="122"/>
      <c r="N139" s="138"/>
      <c r="O139" s="122"/>
      <c r="P139" s="138"/>
      <c r="Q139" s="122"/>
      <c r="R139" s="138"/>
      <c r="S139" s="61"/>
      <c r="U139" s="143"/>
      <c r="V139" s="117"/>
      <c r="W139" s="139"/>
      <c r="X139" s="143"/>
      <c r="Y139" s="117"/>
      <c r="Z139" s="139"/>
      <c r="AA139" s="124"/>
      <c r="AB139" s="125"/>
      <c r="AC139" s="125"/>
      <c r="AD139" s="117"/>
      <c r="AE139" s="117"/>
      <c r="AF139" s="126">
        <f t="shared" si="0"/>
        <v>0</v>
      </c>
    </row>
    <row r="140" spans="1:32" hidden="1" x14ac:dyDescent="0.25">
      <c r="A140" s="59"/>
      <c r="B140" s="121"/>
      <c r="C140" s="122"/>
      <c r="D140" s="115"/>
      <c r="E140" s="122"/>
      <c r="F140" s="138"/>
      <c r="G140" s="122"/>
      <c r="H140" s="138"/>
      <c r="I140" s="122"/>
      <c r="J140" s="138"/>
      <c r="K140" s="122"/>
      <c r="L140" s="138"/>
      <c r="M140" s="122"/>
      <c r="N140" s="138"/>
      <c r="O140" s="122"/>
      <c r="P140" s="138"/>
      <c r="Q140" s="122"/>
      <c r="R140" s="138"/>
      <c r="S140" s="61"/>
      <c r="U140" s="143"/>
      <c r="V140" s="117"/>
      <c r="W140" s="139"/>
      <c r="X140" s="143"/>
      <c r="Y140" s="117"/>
      <c r="Z140" s="139"/>
      <c r="AA140" s="124"/>
      <c r="AB140" s="125"/>
      <c r="AC140" s="125"/>
      <c r="AD140" s="117"/>
      <c r="AE140" s="117"/>
      <c r="AF140" s="126">
        <f t="shared" si="0"/>
        <v>0</v>
      </c>
    </row>
    <row r="141" spans="1:32" hidden="1" x14ac:dyDescent="0.25">
      <c r="A141" s="59"/>
      <c r="B141" s="121"/>
      <c r="C141" s="122"/>
      <c r="D141" s="115"/>
      <c r="E141" s="122"/>
      <c r="F141" s="138"/>
      <c r="G141" s="122"/>
      <c r="H141" s="138"/>
      <c r="I141" s="122"/>
      <c r="J141" s="138"/>
      <c r="K141" s="122"/>
      <c r="L141" s="138"/>
      <c r="M141" s="122"/>
      <c r="N141" s="138"/>
      <c r="O141" s="122"/>
      <c r="P141" s="138"/>
      <c r="Q141" s="122"/>
      <c r="R141" s="138"/>
      <c r="S141" s="61"/>
      <c r="U141" s="143"/>
      <c r="V141" s="117"/>
      <c r="W141" s="139"/>
      <c r="X141" s="143"/>
      <c r="Y141" s="117"/>
      <c r="Z141" s="139"/>
      <c r="AA141" s="124"/>
      <c r="AB141" s="125"/>
      <c r="AC141" s="125"/>
      <c r="AD141" s="117"/>
      <c r="AE141" s="117"/>
      <c r="AF141" s="126">
        <f t="shared" si="0"/>
        <v>0</v>
      </c>
    </row>
    <row r="142" spans="1:32" hidden="1" x14ac:dyDescent="0.25">
      <c r="A142" s="59"/>
      <c r="B142" s="121"/>
      <c r="C142" s="122"/>
      <c r="D142" s="115"/>
      <c r="E142" s="122"/>
      <c r="F142" s="138"/>
      <c r="G142" s="122"/>
      <c r="H142" s="138"/>
      <c r="I142" s="122"/>
      <c r="J142" s="138"/>
      <c r="K142" s="122"/>
      <c r="L142" s="138"/>
      <c r="M142" s="122"/>
      <c r="N142" s="138"/>
      <c r="O142" s="122"/>
      <c r="P142" s="138"/>
      <c r="Q142" s="122"/>
      <c r="R142" s="138"/>
      <c r="S142" s="61"/>
      <c r="U142" s="143"/>
      <c r="V142" s="117"/>
      <c r="W142" s="139"/>
      <c r="X142" s="143"/>
      <c r="Y142" s="117"/>
      <c r="Z142" s="139"/>
      <c r="AA142" s="124"/>
      <c r="AB142" s="125"/>
      <c r="AC142" s="125"/>
      <c r="AD142" s="117"/>
      <c r="AE142" s="117"/>
      <c r="AF142" s="126">
        <f t="shared" si="0"/>
        <v>0</v>
      </c>
    </row>
    <row r="143" spans="1:32" hidden="1" x14ac:dyDescent="0.25">
      <c r="A143" s="59"/>
      <c r="B143" s="121"/>
      <c r="C143" s="122"/>
      <c r="D143" s="115"/>
      <c r="E143" s="122"/>
      <c r="F143" s="138"/>
      <c r="G143" s="122"/>
      <c r="H143" s="138"/>
      <c r="I143" s="122"/>
      <c r="J143" s="138"/>
      <c r="K143" s="122"/>
      <c r="L143" s="138"/>
      <c r="M143" s="122"/>
      <c r="N143" s="138"/>
      <c r="O143" s="122"/>
      <c r="P143" s="138"/>
      <c r="Q143" s="122"/>
      <c r="R143" s="138"/>
      <c r="S143" s="61"/>
      <c r="U143" s="143"/>
      <c r="V143" s="117"/>
      <c r="W143" s="139"/>
      <c r="X143" s="143"/>
      <c r="Y143" s="117"/>
      <c r="Z143" s="139"/>
      <c r="AA143" s="124"/>
      <c r="AB143" s="125"/>
      <c r="AC143" s="125"/>
      <c r="AD143" s="117"/>
      <c r="AE143" s="117"/>
      <c r="AF143" s="126">
        <f t="shared" si="0"/>
        <v>0</v>
      </c>
    </row>
    <row r="144" spans="1:32" hidden="1" x14ac:dyDescent="0.25">
      <c r="A144" s="59"/>
      <c r="B144" s="121"/>
      <c r="C144" s="122"/>
      <c r="D144" s="115"/>
      <c r="E144" s="122"/>
      <c r="F144" s="138"/>
      <c r="G144" s="122"/>
      <c r="H144" s="138"/>
      <c r="I144" s="122"/>
      <c r="J144" s="138"/>
      <c r="K144" s="122"/>
      <c r="L144" s="138"/>
      <c r="M144" s="122"/>
      <c r="N144" s="138"/>
      <c r="O144" s="122"/>
      <c r="P144" s="138"/>
      <c r="Q144" s="122"/>
      <c r="R144" s="138"/>
      <c r="S144" s="61"/>
      <c r="U144" s="143"/>
      <c r="V144" s="117"/>
      <c r="W144" s="139"/>
      <c r="X144" s="143"/>
      <c r="Y144" s="117"/>
      <c r="Z144" s="139"/>
      <c r="AA144" s="124"/>
      <c r="AB144" s="125"/>
      <c r="AC144" s="125"/>
      <c r="AD144" s="117"/>
      <c r="AE144" s="117"/>
      <c r="AF144" s="126">
        <f t="shared" si="0"/>
        <v>0</v>
      </c>
    </row>
    <row r="145" spans="1:32" hidden="1" x14ac:dyDescent="0.25">
      <c r="A145" s="59"/>
      <c r="B145" s="121"/>
      <c r="C145" s="122"/>
      <c r="D145" s="115"/>
      <c r="E145" s="122"/>
      <c r="F145" s="138"/>
      <c r="G145" s="122"/>
      <c r="H145" s="138"/>
      <c r="I145" s="122"/>
      <c r="J145" s="138"/>
      <c r="K145" s="122"/>
      <c r="L145" s="138"/>
      <c r="M145" s="122"/>
      <c r="N145" s="138"/>
      <c r="O145" s="122"/>
      <c r="P145" s="138"/>
      <c r="Q145" s="122"/>
      <c r="R145" s="138"/>
      <c r="S145" s="61"/>
      <c r="U145" s="143"/>
      <c r="V145" s="117"/>
      <c r="W145" s="139"/>
      <c r="X145" s="143"/>
      <c r="Y145" s="117"/>
      <c r="Z145" s="139"/>
      <c r="AA145" s="124"/>
      <c r="AB145" s="125"/>
      <c r="AC145" s="125"/>
      <c r="AD145" s="117"/>
      <c r="AE145" s="117"/>
      <c r="AF145" s="126">
        <f t="shared" si="0"/>
        <v>0</v>
      </c>
    </row>
    <row r="146" spans="1:32" ht="13" hidden="1" x14ac:dyDescent="0.25">
      <c r="A146" s="59"/>
      <c r="B146" s="660" t="s">
        <v>601</v>
      </c>
      <c r="C146" s="130"/>
      <c r="D146" s="130"/>
      <c r="E146" s="130"/>
      <c r="F146" s="130"/>
      <c r="G146" s="130"/>
      <c r="H146" s="130"/>
      <c r="I146" s="130"/>
      <c r="J146" s="130"/>
      <c r="K146" s="130"/>
      <c r="L146" s="130"/>
      <c r="M146" s="130"/>
      <c r="N146" s="130"/>
      <c r="O146" s="130"/>
      <c r="P146" s="130"/>
      <c r="Q146" s="130"/>
      <c r="R146" s="131"/>
      <c r="S146" s="94"/>
      <c r="U146" s="144"/>
      <c r="V146" s="133"/>
      <c r="W146" s="140"/>
      <c r="X146" s="144"/>
      <c r="Y146" s="133"/>
      <c r="Z146" s="140"/>
      <c r="AA146" s="135"/>
      <c r="AB146" s="136"/>
      <c r="AC146" s="136"/>
      <c r="AD146" s="136"/>
      <c r="AE146" s="136"/>
      <c r="AF146" s="137" t="str">
        <f t="shared" si="0"/>
        <v>Radio devices</v>
      </c>
    </row>
    <row r="147" spans="1:32" hidden="1" x14ac:dyDescent="0.25">
      <c r="A147" s="59"/>
      <c r="B147" s="121"/>
      <c r="C147" s="122"/>
      <c r="D147" s="113"/>
      <c r="E147" s="123"/>
      <c r="F147" s="115"/>
      <c r="G147" s="122"/>
      <c r="H147" s="113"/>
      <c r="I147" s="123"/>
      <c r="J147" s="115"/>
      <c r="K147" s="122"/>
      <c r="L147" s="113"/>
      <c r="M147" s="123"/>
      <c r="N147" s="115"/>
      <c r="O147" s="122"/>
      <c r="P147" s="113"/>
      <c r="Q147" s="123"/>
      <c r="R147" s="115"/>
      <c r="S147" s="61"/>
      <c r="U147" s="116"/>
      <c r="V147" s="117"/>
      <c r="W147" s="118"/>
      <c r="X147" s="116"/>
      <c r="Y147" s="117"/>
      <c r="Z147" s="118"/>
      <c r="AA147" s="124"/>
      <c r="AB147" s="125"/>
      <c r="AC147" s="125"/>
      <c r="AD147" s="117"/>
      <c r="AE147" s="117"/>
      <c r="AF147" s="126"/>
    </row>
    <row r="148" spans="1:32" hidden="1" x14ac:dyDescent="0.25">
      <c r="A148" s="59"/>
      <c r="B148" s="121"/>
      <c r="C148" s="122"/>
      <c r="D148" s="113"/>
      <c r="E148" s="123"/>
      <c r="F148" s="115"/>
      <c r="G148" s="122"/>
      <c r="H148" s="113"/>
      <c r="I148" s="123"/>
      <c r="J148" s="115"/>
      <c r="K148" s="122"/>
      <c r="L148" s="113"/>
      <c r="M148" s="123"/>
      <c r="N148" s="115"/>
      <c r="O148" s="122"/>
      <c r="P148" s="113"/>
      <c r="Q148" s="123"/>
      <c r="R148" s="115"/>
      <c r="S148" s="61"/>
      <c r="U148" s="116"/>
      <c r="V148" s="117"/>
      <c r="W148" s="118"/>
      <c r="X148" s="116"/>
      <c r="Y148" s="117"/>
      <c r="Z148" s="118"/>
      <c r="AA148" s="124"/>
      <c r="AB148" s="125"/>
      <c r="AC148" s="125"/>
      <c r="AD148" s="117"/>
      <c r="AE148" s="117"/>
      <c r="AF148" s="126"/>
    </row>
    <row r="149" spans="1:32" hidden="1" x14ac:dyDescent="0.25">
      <c r="A149" s="59"/>
      <c r="B149" s="121"/>
      <c r="C149" s="122"/>
      <c r="D149" s="113"/>
      <c r="E149" s="123"/>
      <c r="F149" s="115"/>
      <c r="G149" s="122"/>
      <c r="H149" s="113"/>
      <c r="I149" s="123"/>
      <c r="J149" s="115"/>
      <c r="K149" s="122"/>
      <c r="L149" s="113"/>
      <c r="M149" s="123"/>
      <c r="N149" s="115"/>
      <c r="O149" s="122"/>
      <c r="P149" s="113"/>
      <c r="Q149" s="123"/>
      <c r="R149" s="115"/>
      <c r="S149" s="61"/>
      <c r="U149" s="116"/>
      <c r="V149" s="117"/>
      <c r="W149" s="118"/>
      <c r="X149" s="116"/>
      <c r="Y149" s="117"/>
      <c r="Z149" s="118"/>
      <c r="AA149" s="124"/>
      <c r="AB149" s="125"/>
      <c r="AC149" s="125"/>
      <c r="AD149" s="117"/>
      <c r="AE149" s="117"/>
      <c r="AF149" s="126"/>
    </row>
    <row r="150" spans="1:32" hidden="1" x14ac:dyDescent="0.25">
      <c r="A150" s="59"/>
      <c r="B150" s="121"/>
      <c r="C150" s="122"/>
      <c r="D150" s="113"/>
      <c r="E150" s="123"/>
      <c r="F150" s="115"/>
      <c r="G150" s="122"/>
      <c r="H150" s="113"/>
      <c r="I150" s="123"/>
      <c r="J150" s="115"/>
      <c r="K150" s="122"/>
      <c r="L150" s="113"/>
      <c r="M150" s="123"/>
      <c r="N150" s="115"/>
      <c r="O150" s="122"/>
      <c r="P150" s="113"/>
      <c r="Q150" s="123"/>
      <c r="R150" s="115"/>
      <c r="S150" s="61"/>
      <c r="U150" s="116"/>
      <c r="V150" s="117"/>
      <c r="W150" s="118"/>
      <c r="X150" s="116"/>
      <c r="Y150" s="117"/>
      <c r="Z150" s="118"/>
      <c r="AA150" s="124"/>
      <c r="AB150" s="125"/>
      <c r="AC150" s="125"/>
      <c r="AD150" s="117"/>
      <c r="AE150" s="117"/>
      <c r="AF150" s="126"/>
    </row>
    <row r="151" spans="1:32" hidden="1" x14ac:dyDescent="0.25">
      <c r="A151" s="59"/>
      <c r="B151" s="121"/>
      <c r="C151" s="122"/>
      <c r="D151" s="113"/>
      <c r="E151" s="123"/>
      <c r="F151" s="115"/>
      <c r="G151" s="122"/>
      <c r="H151" s="113"/>
      <c r="I151" s="123"/>
      <c r="J151" s="115"/>
      <c r="K151" s="122"/>
      <c r="L151" s="113"/>
      <c r="M151" s="123"/>
      <c r="N151" s="115"/>
      <c r="O151" s="122"/>
      <c r="P151" s="113"/>
      <c r="Q151" s="123"/>
      <c r="R151" s="115"/>
      <c r="S151" s="61"/>
      <c r="U151" s="116"/>
      <c r="V151" s="117"/>
      <c r="W151" s="118"/>
      <c r="X151" s="116"/>
      <c r="Y151" s="117"/>
      <c r="Z151" s="118"/>
      <c r="AA151" s="124"/>
      <c r="AB151" s="125"/>
      <c r="AC151" s="125"/>
      <c r="AD151" s="117"/>
      <c r="AE151" s="117"/>
      <c r="AF151" s="126"/>
    </row>
    <row r="152" spans="1:32" hidden="1" x14ac:dyDescent="0.25">
      <c r="A152" s="59"/>
      <c r="B152" s="121"/>
      <c r="C152" s="122"/>
      <c r="D152" s="115"/>
      <c r="E152" s="122"/>
      <c r="F152" s="138"/>
      <c r="G152" s="122"/>
      <c r="H152" s="138"/>
      <c r="I152" s="122"/>
      <c r="J152" s="138"/>
      <c r="K152" s="122"/>
      <c r="L152" s="138"/>
      <c r="M152" s="122"/>
      <c r="N152" s="138"/>
      <c r="O152" s="122"/>
      <c r="P152" s="138"/>
      <c r="Q152" s="122"/>
      <c r="R152" s="138"/>
      <c r="S152" s="61"/>
      <c r="U152" s="143"/>
      <c r="V152" s="117"/>
      <c r="W152" s="118"/>
      <c r="X152" s="143"/>
      <c r="Y152" s="117"/>
      <c r="Z152" s="118"/>
      <c r="AA152" s="124"/>
      <c r="AB152" s="125"/>
      <c r="AC152" s="125"/>
      <c r="AD152" s="117"/>
      <c r="AE152" s="117"/>
      <c r="AF152" s="126">
        <f t="shared" ref="AF152:AF211" si="3">B152</f>
        <v>0</v>
      </c>
    </row>
    <row r="153" spans="1:32" hidden="1" x14ac:dyDescent="0.25">
      <c r="A153" s="59"/>
      <c r="B153" s="121"/>
      <c r="C153" s="122"/>
      <c r="D153" s="115"/>
      <c r="E153" s="122"/>
      <c r="F153" s="138"/>
      <c r="G153" s="122"/>
      <c r="H153" s="138"/>
      <c r="I153" s="122"/>
      <c r="J153" s="138"/>
      <c r="K153" s="122"/>
      <c r="L153" s="138"/>
      <c r="M153" s="122"/>
      <c r="N153" s="138"/>
      <c r="O153" s="122"/>
      <c r="P153" s="138"/>
      <c r="Q153" s="122"/>
      <c r="R153" s="138"/>
      <c r="S153" s="61"/>
      <c r="U153" s="143"/>
      <c r="V153" s="117"/>
      <c r="W153" s="118"/>
      <c r="X153" s="143"/>
      <c r="Y153" s="117"/>
      <c r="Z153" s="118"/>
      <c r="AA153" s="124"/>
      <c r="AB153" s="125"/>
      <c r="AC153" s="125"/>
      <c r="AD153" s="117"/>
      <c r="AE153" s="117"/>
      <c r="AF153" s="126">
        <f t="shared" si="3"/>
        <v>0</v>
      </c>
    </row>
    <row r="154" spans="1:32" hidden="1" x14ac:dyDescent="0.25">
      <c r="A154" s="59"/>
      <c r="B154" s="121"/>
      <c r="C154" s="122"/>
      <c r="D154" s="115"/>
      <c r="E154" s="122"/>
      <c r="F154" s="138"/>
      <c r="G154" s="122"/>
      <c r="H154" s="138"/>
      <c r="I154" s="122"/>
      <c r="J154" s="138"/>
      <c r="K154" s="122"/>
      <c r="L154" s="138"/>
      <c r="M154" s="122"/>
      <c r="N154" s="138"/>
      <c r="O154" s="122"/>
      <c r="P154" s="138"/>
      <c r="Q154" s="122"/>
      <c r="R154" s="138"/>
      <c r="S154" s="61"/>
      <c r="U154" s="143"/>
      <c r="V154" s="117"/>
      <c r="W154" s="118"/>
      <c r="X154" s="143"/>
      <c r="Y154" s="117"/>
      <c r="Z154" s="118"/>
      <c r="AA154" s="124"/>
      <c r="AB154" s="125"/>
      <c r="AC154" s="125"/>
      <c r="AD154" s="117"/>
      <c r="AE154" s="117"/>
      <c r="AF154" s="126">
        <f t="shared" si="3"/>
        <v>0</v>
      </c>
    </row>
    <row r="155" spans="1:32" hidden="1" x14ac:dyDescent="0.25">
      <c r="A155" s="59"/>
      <c r="B155" s="121"/>
      <c r="C155" s="122"/>
      <c r="D155" s="115"/>
      <c r="E155" s="122"/>
      <c r="F155" s="138"/>
      <c r="G155" s="122"/>
      <c r="H155" s="138"/>
      <c r="I155" s="122"/>
      <c r="J155" s="138"/>
      <c r="K155" s="122"/>
      <c r="L155" s="138"/>
      <c r="M155" s="122"/>
      <c r="N155" s="138"/>
      <c r="O155" s="122"/>
      <c r="P155" s="138"/>
      <c r="Q155" s="122"/>
      <c r="R155" s="138"/>
      <c r="S155" s="61"/>
      <c r="U155" s="143"/>
      <c r="V155" s="117"/>
      <c r="W155" s="118"/>
      <c r="X155" s="143"/>
      <c r="Y155" s="117"/>
      <c r="Z155" s="118"/>
      <c r="AA155" s="124"/>
      <c r="AB155" s="125"/>
      <c r="AC155" s="125"/>
      <c r="AD155" s="117"/>
      <c r="AE155" s="117"/>
      <c r="AF155" s="126">
        <f t="shared" si="3"/>
        <v>0</v>
      </c>
    </row>
    <row r="156" spans="1:32" hidden="1" x14ac:dyDescent="0.25">
      <c r="A156" s="59"/>
      <c r="B156" s="121"/>
      <c r="C156" s="122"/>
      <c r="D156" s="115"/>
      <c r="E156" s="122"/>
      <c r="F156" s="138"/>
      <c r="G156" s="122"/>
      <c r="H156" s="138"/>
      <c r="I156" s="122"/>
      <c r="J156" s="138"/>
      <c r="K156" s="122"/>
      <c r="L156" s="138"/>
      <c r="M156" s="122"/>
      <c r="N156" s="138"/>
      <c r="O156" s="122"/>
      <c r="P156" s="138"/>
      <c r="Q156" s="122"/>
      <c r="R156" s="138"/>
      <c r="S156" s="61"/>
      <c r="U156" s="143"/>
      <c r="V156" s="117"/>
      <c r="W156" s="118"/>
      <c r="X156" s="143"/>
      <c r="Y156" s="117"/>
      <c r="Z156" s="118"/>
      <c r="AA156" s="124"/>
      <c r="AB156" s="125"/>
      <c r="AC156" s="125"/>
      <c r="AD156" s="117"/>
      <c r="AE156" s="117"/>
      <c r="AF156" s="126">
        <f t="shared" si="3"/>
        <v>0</v>
      </c>
    </row>
    <row r="157" spans="1:32" hidden="1" x14ac:dyDescent="0.25">
      <c r="A157" s="59"/>
      <c r="B157" s="121"/>
      <c r="C157" s="122"/>
      <c r="D157" s="115"/>
      <c r="E157" s="122"/>
      <c r="F157" s="138"/>
      <c r="G157" s="122"/>
      <c r="H157" s="138"/>
      <c r="I157" s="122"/>
      <c r="J157" s="138"/>
      <c r="K157" s="122"/>
      <c r="L157" s="138"/>
      <c r="M157" s="122"/>
      <c r="N157" s="138"/>
      <c r="O157" s="122"/>
      <c r="P157" s="138"/>
      <c r="Q157" s="122"/>
      <c r="R157" s="138"/>
      <c r="S157" s="61"/>
      <c r="U157" s="143"/>
      <c r="V157" s="117"/>
      <c r="W157" s="118"/>
      <c r="X157" s="143"/>
      <c r="Y157" s="117"/>
      <c r="Z157" s="118"/>
      <c r="AA157" s="124"/>
      <c r="AB157" s="125"/>
      <c r="AC157" s="125"/>
      <c r="AD157" s="117"/>
      <c r="AE157" s="117"/>
      <c r="AF157" s="126">
        <f t="shared" si="3"/>
        <v>0</v>
      </c>
    </row>
    <row r="158" spans="1:32" hidden="1" x14ac:dyDescent="0.25">
      <c r="A158" s="59"/>
      <c r="B158" s="121"/>
      <c r="C158" s="122"/>
      <c r="D158" s="115"/>
      <c r="E158" s="122"/>
      <c r="F158" s="138"/>
      <c r="G158" s="122"/>
      <c r="H158" s="138"/>
      <c r="I158" s="122"/>
      <c r="J158" s="138"/>
      <c r="K158" s="122"/>
      <c r="L158" s="138"/>
      <c r="M158" s="122"/>
      <c r="N158" s="138"/>
      <c r="O158" s="122"/>
      <c r="P158" s="138"/>
      <c r="Q158" s="122"/>
      <c r="R158" s="138"/>
      <c r="S158" s="61"/>
      <c r="U158" s="143"/>
      <c r="V158" s="117"/>
      <c r="W158" s="118"/>
      <c r="X158" s="143"/>
      <c r="Y158" s="117"/>
      <c r="Z158" s="118"/>
      <c r="AA158" s="124"/>
      <c r="AB158" s="125"/>
      <c r="AC158" s="125"/>
      <c r="AD158" s="117"/>
      <c r="AE158" s="117"/>
      <c r="AF158" s="126">
        <f t="shared" si="3"/>
        <v>0</v>
      </c>
    </row>
    <row r="159" spans="1:32" hidden="1" x14ac:dyDescent="0.25">
      <c r="A159" s="59"/>
      <c r="B159" s="121"/>
      <c r="C159" s="122"/>
      <c r="D159" s="115"/>
      <c r="E159" s="122"/>
      <c r="F159" s="138"/>
      <c r="G159" s="122"/>
      <c r="H159" s="138"/>
      <c r="I159" s="122"/>
      <c r="J159" s="138"/>
      <c r="K159" s="122"/>
      <c r="L159" s="138"/>
      <c r="M159" s="122"/>
      <c r="N159" s="138"/>
      <c r="O159" s="122"/>
      <c r="P159" s="138"/>
      <c r="Q159" s="122"/>
      <c r="R159" s="138"/>
      <c r="S159" s="61"/>
      <c r="U159" s="143"/>
      <c r="V159" s="117"/>
      <c r="W159" s="118"/>
      <c r="X159" s="143"/>
      <c r="Y159" s="117"/>
      <c r="Z159" s="118"/>
      <c r="AA159" s="124"/>
      <c r="AB159" s="125"/>
      <c r="AC159" s="125"/>
      <c r="AD159" s="117"/>
      <c r="AE159" s="117"/>
      <c r="AF159" s="126">
        <f t="shared" si="3"/>
        <v>0</v>
      </c>
    </row>
    <row r="160" spans="1:32" hidden="1" x14ac:dyDescent="0.25">
      <c r="A160" s="59"/>
      <c r="B160" s="121"/>
      <c r="C160" s="122"/>
      <c r="D160" s="115"/>
      <c r="E160" s="122"/>
      <c r="F160" s="138"/>
      <c r="G160" s="122"/>
      <c r="H160" s="138"/>
      <c r="I160" s="122"/>
      <c r="J160" s="138"/>
      <c r="K160" s="122"/>
      <c r="L160" s="138"/>
      <c r="M160" s="122"/>
      <c r="N160" s="138"/>
      <c r="O160" s="122"/>
      <c r="P160" s="138"/>
      <c r="Q160" s="122"/>
      <c r="R160" s="138"/>
      <c r="S160" s="61"/>
      <c r="U160" s="143"/>
      <c r="V160" s="117"/>
      <c r="W160" s="118"/>
      <c r="X160" s="143"/>
      <c r="Y160" s="117"/>
      <c r="Z160" s="118"/>
      <c r="AA160" s="124"/>
      <c r="AB160" s="125"/>
      <c r="AC160" s="125"/>
      <c r="AD160" s="117"/>
      <c r="AE160" s="117"/>
      <c r="AF160" s="126">
        <f t="shared" si="3"/>
        <v>0</v>
      </c>
    </row>
    <row r="161" spans="1:32" hidden="1" x14ac:dyDescent="0.25">
      <c r="A161" s="59"/>
      <c r="B161" s="121"/>
      <c r="C161" s="122"/>
      <c r="D161" s="115"/>
      <c r="E161" s="122"/>
      <c r="F161" s="138"/>
      <c r="G161" s="122"/>
      <c r="H161" s="138"/>
      <c r="I161" s="122"/>
      <c r="J161" s="138"/>
      <c r="K161" s="122"/>
      <c r="L161" s="138"/>
      <c r="M161" s="122"/>
      <c r="N161" s="138"/>
      <c r="O161" s="122"/>
      <c r="P161" s="138"/>
      <c r="Q161" s="122"/>
      <c r="R161" s="138"/>
      <c r="S161" s="61"/>
      <c r="U161" s="143"/>
      <c r="V161" s="117"/>
      <c r="W161" s="118"/>
      <c r="X161" s="143"/>
      <c r="Y161" s="117"/>
      <c r="Z161" s="118"/>
      <c r="AA161" s="124"/>
      <c r="AB161" s="125"/>
      <c r="AC161" s="125"/>
      <c r="AD161" s="117"/>
      <c r="AE161" s="117"/>
      <c r="AF161" s="126">
        <f t="shared" si="3"/>
        <v>0</v>
      </c>
    </row>
    <row r="162" spans="1:32" ht="13" hidden="1" x14ac:dyDescent="0.25">
      <c r="A162" s="59"/>
      <c r="B162" s="660" t="s">
        <v>602</v>
      </c>
      <c r="C162" s="130"/>
      <c r="D162" s="130"/>
      <c r="E162" s="130"/>
      <c r="F162" s="130"/>
      <c r="G162" s="130"/>
      <c r="H162" s="130"/>
      <c r="I162" s="130"/>
      <c r="J162" s="130"/>
      <c r="K162" s="130"/>
      <c r="L162" s="130"/>
      <c r="M162" s="130"/>
      <c r="N162" s="130"/>
      <c r="O162" s="130"/>
      <c r="P162" s="130"/>
      <c r="Q162" s="130"/>
      <c r="R162" s="131"/>
      <c r="S162" s="94"/>
      <c r="U162" s="145"/>
      <c r="V162" s="133"/>
      <c r="W162" s="134"/>
      <c r="X162" s="144"/>
      <c r="Y162" s="133"/>
      <c r="Z162" s="134"/>
      <c r="AA162" s="135"/>
      <c r="AB162" s="136"/>
      <c r="AC162" s="136"/>
      <c r="AD162" s="136"/>
      <c r="AE162" s="136"/>
      <c r="AF162" s="137" t="str">
        <f t="shared" si="3"/>
        <v>Integrated modules</v>
      </c>
    </row>
    <row r="163" spans="1:32" hidden="1" x14ac:dyDescent="0.25">
      <c r="A163" s="59"/>
      <c r="B163" s="121"/>
      <c r="C163" s="122"/>
      <c r="D163" s="113"/>
      <c r="E163" s="123"/>
      <c r="F163" s="115"/>
      <c r="G163" s="122"/>
      <c r="H163" s="113"/>
      <c r="I163" s="123"/>
      <c r="J163" s="115"/>
      <c r="K163" s="122"/>
      <c r="L163" s="113"/>
      <c r="M163" s="123"/>
      <c r="N163" s="115"/>
      <c r="O163" s="122"/>
      <c r="P163" s="113"/>
      <c r="Q163" s="123"/>
      <c r="R163" s="115"/>
      <c r="S163" s="61"/>
      <c r="U163" s="116"/>
      <c r="V163" s="117"/>
      <c r="W163" s="118"/>
      <c r="X163" s="116"/>
      <c r="Y163" s="117"/>
      <c r="Z163" s="118"/>
      <c r="AA163" s="124"/>
      <c r="AB163" s="125"/>
      <c r="AC163" s="125"/>
      <c r="AD163" s="117"/>
      <c r="AE163" s="117"/>
      <c r="AF163" s="126"/>
    </row>
    <row r="164" spans="1:32" hidden="1" x14ac:dyDescent="0.25">
      <c r="A164" s="59"/>
      <c r="B164" s="121"/>
      <c r="C164" s="122"/>
      <c r="D164" s="113"/>
      <c r="E164" s="123"/>
      <c r="F164" s="115"/>
      <c r="G164" s="122"/>
      <c r="H164" s="113"/>
      <c r="I164" s="123"/>
      <c r="J164" s="115"/>
      <c r="K164" s="122"/>
      <c r="L164" s="113"/>
      <c r="M164" s="123"/>
      <c r="N164" s="115"/>
      <c r="O164" s="122"/>
      <c r="P164" s="113"/>
      <c r="Q164" s="123"/>
      <c r="R164" s="115"/>
      <c r="S164" s="61"/>
      <c r="U164" s="116"/>
      <c r="V164" s="117"/>
      <c r="W164" s="118"/>
      <c r="X164" s="116"/>
      <c r="Y164" s="117"/>
      <c r="Z164" s="118"/>
      <c r="AA164" s="124"/>
      <c r="AB164" s="125"/>
      <c r="AC164" s="125"/>
      <c r="AD164" s="117"/>
      <c r="AE164" s="117"/>
      <c r="AF164" s="126"/>
    </row>
    <row r="165" spans="1:32" hidden="1" x14ac:dyDescent="0.25">
      <c r="A165" s="59"/>
      <c r="B165" s="121"/>
      <c r="C165" s="122"/>
      <c r="D165" s="115"/>
      <c r="E165" s="122"/>
      <c r="F165" s="138"/>
      <c r="G165" s="122"/>
      <c r="H165" s="138"/>
      <c r="I165" s="122"/>
      <c r="J165" s="138"/>
      <c r="K165" s="122"/>
      <c r="L165" s="138"/>
      <c r="M165" s="122"/>
      <c r="N165" s="138"/>
      <c r="O165" s="122"/>
      <c r="P165" s="138"/>
      <c r="Q165" s="122"/>
      <c r="R165" s="138"/>
      <c r="S165" s="61"/>
      <c r="U165" s="143"/>
      <c r="V165" s="117"/>
      <c r="X165" s="143"/>
      <c r="Y165" s="117"/>
      <c r="AA165" s="124"/>
      <c r="AB165" s="125"/>
      <c r="AC165" s="125"/>
      <c r="AD165" s="117"/>
      <c r="AE165" s="117"/>
      <c r="AF165" s="126">
        <f t="shared" si="3"/>
        <v>0</v>
      </c>
    </row>
    <row r="166" spans="1:32" hidden="1" x14ac:dyDescent="0.25">
      <c r="A166" s="59"/>
      <c r="B166" s="121"/>
      <c r="C166" s="122"/>
      <c r="D166" s="115"/>
      <c r="E166" s="122"/>
      <c r="F166" s="138"/>
      <c r="G166" s="122"/>
      <c r="H166" s="138"/>
      <c r="I166" s="122"/>
      <c r="J166" s="138"/>
      <c r="K166" s="122"/>
      <c r="L166" s="138"/>
      <c r="M166" s="122"/>
      <c r="N166" s="138"/>
      <c r="O166" s="122"/>
      <c r="P166" s="138"/>
      <c r="Q166" s="122"/>
      <c r="R166" s="138"/>
      <c r="S166" s="61"/>
      <c r="U166" s="143"/>
      <c r="V166" s="117"/>
      <c r="X166" s="143"/>
      <c r="Y166" s="117"/>
      <c r="AA166" s="124"/>
      <c r="AB166" s="125"/>
      <c r="AC166" s="125"/>
      <c r="AD166" s="117"/>
      <c r="AE166" s="117"/>
      <c r="AF166" s="126">
        <f t="shared" si="3"/>
        <v>0</v>
      </c>
    </row>
    <row r="167" spans="1:32" hidden="1" x14ac:dyDescent="0.25">
      <c r="A167" s="59"/>
      <c r="B167" s="121"/>
      <c r="C167" s="122"/>
      <c r="D167" s="115"/>
      <c r="E167" s="122"/>
      <c r="F167" s="138"/>
      <c r="G167" s="122"/>
      <c r="H167" s="138"/>
      <c r="I167" s="122"/>
      <c r="J167" s="138"/>
      <c r="K167" s="122"/>
      <c r="L167" s="138"/>
      <c r="M167" s="122"/>
      <c r="N167" s="138"/>
      <c r="O167" s="122"/>
      <c r="P167" s="138"/>
      <c r="Q167" s="122"/>
      <c r="R167" s="138"/>
      <c r="S167" s="61"/>
      <c r="U167" s="143"/>
      <c r="V167" s="117"/>
      <c r="X167" s="143"/>
      <c r="Y167" s="117"/>
      <c r="AA167" s="124"/>
      <c r="AB167" s="125"/>
      <c r="AC167" s="125"/>
      <c r="AD167" s="117"/>
      <c r="AE167" s="117"/>
      <c r="AF167" s="126">
        <f t="shared" si="3"/>
        <v>0</v>
      </c>
    </row>
    <row r="168" spans="1:32" hidden="1" x14ac:dyDescent="0.25">
      <c r="A168" s="59"/>
      <c r="B168" s="121"/>
      <c r="C168" s="122"/>
      <c r="D168" s="115"/>
      <c r="E168" s="122"/>
      <c r="F168" s="138"/>
      <c r="G168" s="122"/>
      <c r="H168" s="138"/>
      <c r="I168" s="122"/>
      <c r="J168" s="138"/>
      <c r="K168" s="122"/>
      <c r="L168" s="138"/>
      <c r="M168" s="122"/>
      <c r="N168" s="138"/>
      <c r="O168" s="122"/>
      <c r="P168" s="138"/>
      <c r="Q168" s="122"/>
      <c r="R168" s="138"/>
      <c r="S168" s="61"/>
      <c r="U168" s="143"/>
      <c r="V168" s="117"/>
      <c r="X168" s="143"/>
      <c r="Y168" s="117"/>
      <c r="AA168" s="124"/>
      <c r="AB168" s="125"/>
      <c r="AC168" s="125"/>
      <c r="AD168" s="117"/>
      <c r="AE168" s="117"/>
      <c r="AF168" s="126">
        <f t="shared" si="3"/>
        <v>0</v>
      </c>
    </row>
    <row r="169" spans="1:32" hidden="1" x14ac:dyDescent="0.25">
      <c r="A169" s="59"/>
      <c r="B169" s="121"/>
      <c r="C169" s="122"/>
      <c r="D169" s="115"/>
      <c r="E169" s="122"/>
      <c r="F169" s="138"/>
      <c r="G169" s="122"/>
      <c r="H169" s="138"/>
      <c r="I169" s="122"/>
      <c r="J169" s="138"/>
      <c r="K169" s="122"/>
      <c r="L169" s="138"/>
      <c r="M169" s="122"/>
      <c r="N169" s="138"/>
      <c r="O169" s="122"/>
      <c r="P169" s="138"/>
      <c r="Q169" s="122"/>
      <c r="R169" s="138"/>
      <c r="S169" s="61"/>
      <c r="U169" s="143"/>
      <c r="V169" s="117"/>
      <c r="X169" s="143"/>
      <c r="Y169" s="117"/>
      <c r="AA169" s="124"/>
      <c r="AB169" s="125"/>
      <c r="AC169" s="125"/>
      <c r="AD169" s="117"/>
      <c r="AE169" s="117"/>
      <c r="AF169" s="126">
        <f t="shared" si="3"/>
        <v>0</v>
      </c>
    </row>
    <row r="170" spans="1:32" hidden="1" x14ac:dyDescent="0.25">
      <c r="A170" s="59"/>
      <c r="B170" s="121"/>
      <c r="C170" s="122"/>
      <c r="D170" s="115"/>
      <c r="E170" s="122"/>
      <c r="F170" s="138"/>
      <c r="G170" s="122"/>
      <c r="H170" s="138"/>
      <c r="I170" s="122"/>
      <c r="J170" s="138"/>
      <c r="K170" s="122"/>
      <c r="L170" s="138"/>
      <c r="M170" s="122"/>
      <c r="N170" s="138"/>
      <c r="O170" s="122"/>
      <c r="P170" s="138"/>
      <c r="Q170" s="122"/>
      <c r="R170" s="138"/>
      <c r="S170" s="61"/>
      <c r="U170" s="143"/>
      <c r="V170" s="117"/>
      <c r="X170" s="143"/>
      <c r="Y170" s="117"/>
      <c r="AA170" s="124"/>
      <c r="AB170" s="125"/>
      <c r="AC170" s="125"/>
      <c r="AD170" s="117"/>
      <c r="AE170" s="117"/>
      <c r="AF170" s="126">
        <f t="shared" si="3"/>
        <v>0</v>
      </c>
    </row>
    <row r="171" spans="1:32" hidden="1" x14ac:dyDescent="0.25">
      <c r="A171" s="59"/>
      <c r="B171" s="121"/>
      <c r="C171" s="122"/>
      <c r="D171" s="115"/>
      <c r="E171" s="122"/>
      <c r="F171" s="138"/>
      <c r="G171" s="122"/>
      <c r="H171" s="138"/>
      <c r="I171" s="122"/>
      <c r="J171" s="138"/>
      <c r="K171" s="122"/>
      <c r="L171" s="138"/>
      <c r="M171" s="122"/>
      <c r="N171" s="138"/>
      <c r="O171" s="122"/>
      <c r="P171" s="138"/>
      <c r="Q171" s="122"/>
      <c r="R171" s="138"/>
      <c r="S171" s="61"/>
      <c r="U171" s="143"/>
      <c r="V171" s="117"/>
      <c r="X171" s="143"/>
      <c r="Y171" s="117"/>
      <c r="AA171" s="124"/>
      <c r="AB171" s="125"/>
      <c r="AC171" s="125"/>
      <c r="AD171" s="117"/>
      <c r="AE171" s="117"/>
      <c r="AF171" s="126">
        <f t="shared" si="3"/>
        <v>0</v>
      </c>
    </row>
    <row r="172" spans="1:32" hidden="1" x14ac:dyDescent="0.25">
      <c r="A172" s="59"/>
      <c r="B172" s="121"/>
      <c r="C172" s="122"/>
      <c r="D172" s="115"/>
      <c r="E172" s="122"/>
      <c r="F172" s="138"/>
      <c r="G172" s="122"/>
      <c r="H172" s="138"/>
      <c r="I172" s="122"/>
      <c r="J172" s="138"/>
      <c r="K172" s="122"/>
      <c r="L172" s="138"/>
      <c r="M172" s="122"/>
      <c r="N172" s="138"/>
      <c r="O172" s="122"/>
      <c r="P172" s="138"/>
      <c r="Q172" s="122"/>
      <c r="R172" s="138"/>
      <c r="S172" s="61"/>
      <c r="U172" s="143"/>
      <c r="V172" s="117"/>
      <c r="X172" s="143"/>
      <c r="Y172" s="117"/>
      <c r="AA172" s="124"/>
      <c r="AB172" s="125"/>
      <c r="AC172" s="125"/>
      <c r="AD172" s="117"/>
      <c r="AE172" s="117"/>
      <c r="AF172" s="126">
        <f t="shared" si="3"/>
        <v>0</v>
      </c>
    </row>
    <row r="173" spans="1:32" hidden="1" x14ac:dyDescent="0.25">
      <c r="A173" s="59"/>
      <c r="B173" s="121"/>
      <c r="C173" s="122"/>
      <c r="D173" s="115"/>
      <c r="E173" s="122"/>
      <c r="F173" s="138"/>
      <c r="G173" s="122"/>
      <c r="H173" s="138"/>
      <c r="I173" s="122"/>
      <c r="J173" s="138"/>
      <c r="K173" s="122"/>
      <c r="L173" s="138"/>
      <c r="M173" s="122"/>
      <c r="N173" s="138"/>
      <c r="O173" s="122"/>
      <c r="P173" s="138"/>
      <c r="Q173" s="122"/>
      <c r="R173" s="138"/>
      <c r="S173" s="61"/>
      <c r="U173" s="143"/>
      <c r="V173" s="117"/>
      <c r="X173" s="143"/>
      <c r="Y173" s="117"/>
      <c r="AA173" s="124"/>
      <c r="AB173" s="125"/>
      <c r="AC173" s="125"/>
      <c r="AD173" s="117"/>
      <c r="AE173" s="117"/>
      <c r="AF173" s="126">
        <f t="shared" si="3"/>
        <v>0</v>
      </c>
    </row>
    <row r="174" spans="1:32" hidden="1" x14ac:dyDescent="0.25">
      <c r="A174" s="59"/>
      <c r="B174" s="121"/>
      <c r="C174" s="122"/>
      <c r="D174" s="115"/>
      <c r="E174" s="122"/>
      <c r="F174" s="138"/>
      <c r="G174" s="122"/>
      <c r="H174" s="138"/>
      <c r="I174" s="122"/>
      <c r="J174" s="138"/>
      <c r="K174" s="122"/>
      <c r="L174" s="138"/>
      <c r="M174" s="122"/>
      <c r="N174" s="138"/>
      <c r="O174" s="122"/>
      <c r="P174" s="138"/>
      <c r="Q174" s="122"/>
      <c r="R174" s="138"/>
      <c r="S174" s="61"/>
      <c r="U174" s="143"/>
      <c r="V174" s="117"/>
      <c r="X174" s="143"/>
      <c r="Y174" s="117"/>
      <c r="AA174" s="124"/>
      <c r="AB174" s="125"/>
      <c r="AC174" s="125"/>
      <c r="AD174" s="117"/>
      <c r="AE174" s="117"/>
      <c r="AF174" s="126">
        <f t="shared" si="3"/>
        <v>0</v>
      </c>
    </row>
    <row r="175" spans="1:32" ht="13" collapsed="1" x14ac:dyDescent="0.25">
      <c r="A175" s="59"/>
      <c r="B175" s="660" t="s">
        <v>603</v>
      </c>
      <c r="C175" s="130"/>
      <c r="D175" s="130"/>
      <c r="E175" s="130"/>
      <c r="F175" s="130"/>
      <c r="G175" s="130"/>
      <c r="H175" s="130"/>
      <c r="I175" s="130"/>
      <c r="J175" s="130"/>
      <c r="K175" s="130"/>
      <c r="L175" s="130"/>
      <c r="M175" s="130"/>
      <c r="N175" s="130"/>
      <c r="O175" s="130"/>
      <c r="P175" s="130"/>
      <c r="Q175" s="130"/>
      <c r="R175" s="131"/>
      <c r="S175" s="94"/>
      <c r="U175" s="145"/>
      <c r="V175" s="133"/>
      <c r="W175" s="134"/>
      <c r="X175" s="144"/>
      <c r="Y175" s="133"/>
      <c r="Z175" s="134"/>
      <c r="AA175" s="135"/>
      <c r="AB175" s="136"/>
      <c r="AC175" s="136"/>
      <c r="AD175" s="136"/>
      <c r="AE175" s="136"/>
      <c r="AF175" s="137" t="str">
        <f t="shared" si="3"/>
        <v>Alarm devices - Sound</v>
      </c>
    </row>
    <row r="176" spans="1:32" ht="13" hidden="1" outlineLevel="1" x14ac:dyDescent="0.25">
      <c r="A176" s="59"/>
      <c r="B176" s="345" t="s">
        <v>864</v>
      </c>
      <c r="C176" s="122">
        <v>0</v>
      </c>
      <c r="D176" s="113" t="s">
        <v>147</v>
      </c>
      <c r="E176" s="123">
        <v>0</v>
      </c>
      <c r="F176" s="115" t="s">
        <v>147</v>
      </c>
      <c r="G176" s="122">
        <v>0</v>
      </c>
      <c r="H176" s="113" t="s">
        <v>147</v>
      </c>
      <c r="I176" s="123">
        <v>0</v>
      </c>
      <c r="J176" s="115" t="s">
        <v>147</v>
      </c>
      <c r="K176" s="122">
        <v>0</v>
      </c>
      <c r="L176" s="113" t="s">
        <v>147</v>
      </c>
      <c r="M176" s="123">
        <v>0</v>
      </c>
      <c r="N176" s="115" t="s">
        <v>147</v>
      </c>
      <c r="O176" s="122">
        <v>0</v>
      </c>
      <c r="P176" s="113" t="s">
        <v>147</v>
      </c>
      <c r="Q176" s="123">
        <v>0</v>
      </c>
      <c r="R176" s="115" t="s">
        <v>147</v>
      </c>
      <c r="S176" s="61"/>
      <c r="U176" s="116">
        <f t="shared" ref="U176:U187" si="4">V176+W176</f>
        <v>1</v>
      </c>
      <c r="V176" s="117">
        <v>1</v>
      </c>
      <c r="W176" s="118">
        <v>0</v>
      </c>
      <c r="X176" s="116">
        <f t="shared" ref="X176:X187" si="5">Y176+Z176</f>
        <v>15</v>
      </c>
      <c r="Y176" s="117">
        <v>15</v>
      </c>
      <c r="Z176" s="118">
        <v>0</v>
      </c>
      <c r="AA176" s="124">
        <v>1</v>
      </c>
      <c r="AB176" s="125">
        <v>1</v>
      </c>
      <c r="AC176" s="125">
        <v>0</v>
      </c>
      <c r="AD176" s="117">
        <v>0</v>
      </c>
      <c r="AE176" s="117">
        <v>0</v>
      </c>
      <c r="AF176" s="126" t="str">
        <f t="shared" si="3"/>
        <v>FDS221-R, FDS221-W - Alarm sounder red or white housing, Volume High</v>
      </c>
    </row>
    <row r="177" spans="1:32" ht="13" hidden="1" outlineLevel="1" x14ac:dyDescent="0.25">
      <c r="A177" s="59"/>
      <c r="B177" s="345" t="s">
        <v>865</v>
      </c>
      <c r="C177" s="122">
        <v>0</v>
      </c>
      <c r="D177" s="113" t="s">
        <v>147</v>
      </c>
      <c r="E177" s="123">
        <v>0</v>
      </c>
      <c r="F177" s="115" t="s">
        <v>147</v>
      </c>
      <c r="G177" s="122">
        <v>0</v>
      </c>
      <c r="H177" s="113" t="s">
        <v>147</v>
      </c>
      <c r="I177" s="123">
        <v>0</v>
      </c>
      <c r="J177" s="115" t="s">
        <v>147</v>
      </c>
      <c r="K177" s="122">
        <v>0</v>
      </c>
      <c r="L177" s="113" t="s">
        <v>147</v>
      </c>
      <c r="M177" s="123">
        <v>0</v>
      </c>
      <c r="N177" s="115" t="s">
        <v>147</v>
      </c>
      <c r="O177" s="122">
        <v>0</v>
      </c>
      <c r="P177" s="113" t="s">
        <v>147</v>
      </c>
      <c r="Q177" s="123">
        <v>0</v>
      </c>
      <c r="R177" s="115" t="s">
        <v>147</v>
      </c>
      <c r="S177" s="61"/>
      <c r="U177" s="116">
        <f t="shared" si="4"/>
        <v>1</v>
      </c>
      <c r="V177" s="117">
        <v>1</v>
      </c>
      <c r="W177" s="118">
        <v>0</v>
      </c>
      <c r="X177" s="116">
        <f t="shared" si="5"/>
        <v>10</v>
      </c>
      <c r="Y177" s="117">
        <v>10</v>
      </c>
      <c r="Z177" s="118">
        <v>0</v>
      </c>
      <c r="AA177" s="124">
        <v>1</v>
      </c>
      <c r="AB177" s="125">
        <v>1</v>
      </c>
      <c r="AC177" s="125">
        <v>0</v>
      </c>
      <c r="AD177" s="117">
        <v>0</v>
      </c>
      <c r="AE177" s="117">
        <v>0</v>
      </c>
      <c r="AF177" s="126" t="str">
        <f t="shared" si="3"/>
        <v>FDS221-R, FDS221-W - Alarm sounder red or white housing, Volume Medium</v>
      </c>
    </row>
    <row r="178" spans="1:32" ht="13" hidden="1" outlineLevel="1" x14ac:dyDescent="0.25">
      <c r="A178" s="59"/>
      <c r="B178" s="345" t="s">
        <v>866</v>
      </c>
      <c r="C178" s="122">
        <v>0</v>
      </c>
      <c r="D178" s="113" t="s">
        <v>147</v>
      </c>
      <c r="E178" s="123">
        <v>0</v>
      </c>
      <c r="F178" s="115" t="s">
        <v>147</v>
      </c>
      <c r="G178" s="122">
        <v>0</v>
      </c>
      <c r="H178" s="113" t="s">
        <v>147</v>
      </c>
      <c r="I178" s="123">
        <v>0</v>
      </c>
      <c r="J178" s="115" t="s">
        <v>147</v>
      </c>
      <c r="K178" s="122">
        <v>0</v>
      </c>
      <c r="L178" s="113" t="s">
        <v>147</v>
      </c>
      <c r="M178" s="123">
        <v>0</v>
      </c>
      <c r="N178" s="115" t="s">
        <v>147</v>
      </c>
      <c r="O178" s="122">
        <v>0</v>
      </c>
      <c r="P178" s="113" t="s">
        <v>147</v>
      </c>
      <c r="Q178" s="123">
        <v>0</v>
      </c>
      <c r="R178" s="115" t="s">
        <v>147</v>
      </c>
      <c r="S178" s="61"/>
      <c r="U178" s="116">
        <f t="shared" si="4"/>
        <v>1</v>
      </c>
      <c r="V178" s="117">
        <v>1</v>
      </c>
      <c r="W178" s="118">
        <v>0</v>
      </c>
      <c r="X178" s="116">
        <f t="shared" si="5"/>
        <v>5</v>
      </c>
      <c r="Y178" s="117">
        <v>5</v>
      </c>
      <c r="Z178" s="118">
        <v>0</v>
      </c>
      <c r="AA178" s="124">
        <v>1</v>
      </c>
      <c r="AB178" s="125">
        <v>1</v>
      </c>
      <c r="AC178" s="125">
        <v>0</v>
      </c>
      <c r="AD178" s="117">
        <v>0</v>
      </c>
      <c r="AE178" s="117">
        <v>0</v>
      </c>
      <c r="AF178" s="126" t="str">
        <f t="shared" si="3"/>
        <v>FDS221-R, FDS221-W - Alarm sounder red or white housing, Volume Low</v>
      </c>
    </row>
    <row r="179" spans="1:32" ht="13" hidden="1" outlineLevel="1" x14ac:dyDescent="0.25">
      <c r="A179" s="59"/>
      <c r="B179" s="655" t="s">
        <v>868</v>
      </c>
      <c r="C179" s="122">
        <v>0</v>
      </c>
      <c r="D179" s="113" t="s">
        <v>147</v>
      </c>
      <c r="E179" s="123">
        <v>0</v>
      </c>
      <c r="F179" s="115" t="s">
        <v>147</v>
      </c>
      <c r="G179" s="122">
        <v>0</v>
      </c>
      <c r="H179" s="113" t="s">
        <v>147</v>
      </c>
      <c r="I179" s="123">
        <v>0</v>
      </c>
      <c r="J179" s="115" t="s">
        <v>147</v>
      </c>
      <c r="K179" s="122">
        <v>0</v>
      </c>
      <c r="L179" s="113" t="s">
        <v>147</v>
      </c>
      <c r="M179" s="123">
        <v>0</v>
      </c>
      <c r="N179" s="115" t="s">
        <v>147</v>
      </c>
      <c r="O179" s="122">
        <v>0</v>
      </c>
      <c r="P179" s="113" t="s">
        <v>147</v>
      </c>
      <c r="Q179" s="123">
        <v>0</v>
      </c>
      <c r="R179" s="115" t="s">
        <v>147</v>
      </c>
      <c r="S179" s="61"/>
      <c r="U179" s="116">
        <f t="shared" si="4"/>
        <v>0.5</v>
      </c>
      <c r="V179" s="117">
        <v>0.5</v>
      </c>
      <c r="W179" s="118">
        <v>0</v>
      </c>
      <c r="X179" s="116">
        <f t="shared" si="5"/>
        <v>5</v>
      </c>
      <c r="Y179" s="117">
        <v>5</v>
      </c>
      <c r="Z179" s="118">
        <v>0</v>
      </c>
      <c r="AA179" s="124">
        <v>0</v>
      </c>
      <c r="AB179" s="125">
        <v>0</v>
      </c>
      <c r="AC179" s="125">
        <v>0</v>
      </c>
      <c r="AD179" s="117">
        <v>0</v>
      </c>
      <c r="AE179" s="117">
        <v>0</v>
      </c>
      <c r="AF179" s="126" t="str">
        <f t="shared" si="3"/>
        <v>DBS720 - Sounder base, Volume High</v>
      </c>
    </row>
    <row r="180" spans="1:32" ht="13" hidden="1" outlineLevel="1" x14ac:dyDescent="0.25">
      <c r="A180" s="59"/>
      <c r="B180" s="346" t="s">
        <v>867</v>
      </c>
      <c r="C180" s="122">
        <v>0</v>
      </c>
      <c r="D180" s="113" t="s">
        <v>147</v>
      </c>
      <c r="E180" s="123">
        <v>0</v>
      </c>
      <c r="F180" s="115" t="s">
        <v>147</v>
      </c>
      <c r="G180" s="122">
        <v>0</v>
      </c>
      <c r="H180" s="113" t="s">
        <v>147</v>
      </c>
      <c r="I180" s="123">
        <v>0</v>
      </c>
      <c r="J180" s="115" t="s">
        <v>147</v>
      </c>
      <c r="K180" s="122">
        <v>0</v>
      </c>
      <c r="L180" s="113" t="s">
        <v>147</v>
      </c>
      <c r="M180" s="123">
        <v>0</v>
      </c>
      <c r="N180" s="115" t="s">
        <v>147</v>
      </c>
      <c r="O180" s="122">
        <v>0</v>
      </c>
      <c r="P180" s="113" t="s">
        <v>147</v>
      </c>
      <c r="Q180" s="123">
        <v>0</v>
      </c>
      <c r="R180" s="115" t="s">
        <v>147</v>
      </c>
      <c r="S180" s="61"/>
      <c r="U180" s="116">
        <f t="shared" si="4"/>
        <v>0.5</v>
      </c>
      <c r="V180" s="117">
        <v>0.5</v>
      </c>
      <c r="W180" s="118">
        <v>0</v>
      </c>
      <c r="X180" s="116">
        <f t="shared" si="5"/>
        <v>5</v>
      </c>
      <c r="Y180" s="117">
        <v>5</v>
      </c>
      <c r="Z180" s="118">
        <v>0</v>
      </c>
      <c r="AA180" s="124">
        <v>0</v>
      </c>
      <c r="AB180" s="125">
        <v>0</v>
      </c>
      <c r="AC180" s="125">
        <v>0</v>
      </c>
      <c r="AD180" s="117">
        <v>0</v>
      </c>
      <c r="AE180" s="117">
        <v>0</v>
      </c>
      <c r="AF180" s="126" t="str">
        <f t="shared" si="3"/>
        <v>DBS720 - Sounder base, Volume Medium</v>
      </c>
    </row>
    <row r="181" spans="1:32" ht="13" hidden="1" outlineLevel="1" x14ac:dyDescent="0.25">
      <c r="A181" s="59"/>
      <c r="B181" s="345" t="s">
        <v>869</v>
      </c>
      <c r="C181" s="122">
        <v>0</v>
      </c>
      <c r="D181" s="113" t="s">
        <v>147</v>
      </c>
      <c r="E181" s="123">
        <v>0</v>
      </c>
      <c r="F181" s="115" t="s">
        <v>147</v>
      </c>
      <c r="G181" s="122">
        <v>0</v>
      </c>
      <c r="H181" s="113" t="s">
        <v>147</v>
      </c>
      <c r="I181" s="123">
        <v>0</v>
      </c>
      <c r="J181" s="115" t="s">
        <v>147</v>
      </c>
      <c r="K181" s="122">
        <v>0</v>
      </c>
      <c r="L181" s="113" t="s">
        <v>147</v>
      </c>
      <c r="M181" s="123">
        <v>0</v>
      </c>
      <c r="N181" s="115" t="s">
        <v>147</v>
      </c>
      <c r="O181" s="122">
        <v>0</v>
      </c>
      <c r="P181" s="113" t="s">
        <v>147</v>
      </c>
      <c r="Q181" s="123">
        <v>0</v>
      </c>
      <c r="R181" s="115" t="s">
        <v>147</v>
      </c>
      <c r="S181" s="61"/>
      <c r="U181" s="116">
        <f t="shared" si="4"/>
        <v>1</v>
      </c>
      <c r="V181" s="117">
        <v>1</v>
      </c>
      <c r="W181" s="118">
        <v>0</v>
      </c>
      <c r="X181" s="116">
        <f t="shared" si="5"/>
        <v>15</v>
      </c>
      <c r="Y181" s="117">
        <v>15</v>
      </c>
      <c r="Z181" s="118">
        <v>0</v>
      </c>
      <c r="AA181" s="124">
        <v>1</v>
      </c>
      <c r="AB181" s="125">
        <v>1</v>
      </c>
      <c r="AC181" s="125">
        <v>0</v>
      </c>
      <c r="AD181" s="117">
        <v>0</v>
      </c>
      <c r="AE181" s="117">
        <v>0</v>
      </c>
      <c r="AF181" s="126" t="str">
        <f t="shared" si="3"/>
        <v>DBS721 - Sounder interbase, Volume High</v>
      </c>
    </row>
    <row r="182" spans="1:32" ht="13" hidden="1" outlineLevel="1" x14ac:dyDescent="0.25">
      <c r="A182" s="59"/>
      <c r="B182" s="345" t="s">
        <v>870</v>
      </c>
      <c r="C182" s="122">
        <v>0</v>
      </c>
      <c r="D182" s="113" t="s">
        <v>147</v>
      </c>
      <c r="E182" s="123">
        <v>0</v>
      </c>
      <c r="F182" s="115" t="s">
        <v>147</v>
      </c>
      <c r="G182" s="122">
        <v>0</v>
      </c>
      <c r="H182" s="113" t="s">
        <v>147</v>
      </c>
      <c r="I182" s="123">
        <v>0</v>
      </c>
      <c r="J182" s="115" t="s">
        <v>147</v>
      </c>
      <c r="K182" s="122">
        <v>0</v>
      </c>
      <c r="L182" s="113" t="s">
        <v>147</v>
      </c>
      <c r="M182" s="123">
        <v>0</v>
      </c>
      <c r="N182" s="115" t="s">
        <v>147</v>
      </c>
      <c r="O182" s="122">
        <v>0</v>
      </c>
      <c r="P182" s="113" t="s">
        <v>147</v>
      </c>
      <c r="Q182" s="123">
        <v>0</v>
      </c>
      <c r="R182" s="115" t="s">
        <v>147</v>
      </c>
      <c r="S182" s="61"/>
      <c r="U182" s="116">
        <f t="shared" si="4"/>
        <v>1</v>
      </c>
      <c r="V182" s="117">
        <v>1</v>
      </c>
      <c r="W182" s="118">
        <v>0</v>
      </c>
      <c r="X182" s="116">
        <f t="shared" si="5"/>
        <v>10</v>
      </c>
      <c r="Y182" s="117">
        <v>10</v>
      </c>
      <c r="Z182" s="118">
        <v>0</v>
      </c>
      <c r="AA182" s="124">
        <v>1</v>
      </c>
      <c r="AB182" s="125">
        <v>1</v>
      </c>
      <c r="AC182" s="125">
        <v>0</v>
      </c>
      <c r="AD182" s="117">
        <v>0</v>
      </c>
      <c r="AE182" s="117">
        <v>0</v>
      </c>
      <c r="AF182" s="126" t="str">
        <f t="shared" si="3"/>
        <v>DBS721 - Sounder interbase, Volume Medium</v>
      </c>
    </row>
    <row r="183" spans="1:32" ht="13" hidden="1" outlineLevel="1" x14ac:dyDescent="0.25">
      <c r="A183" s="59"/>
      <c r="B183" s="346" t="s">
        <v>871</v>
      </c>
      <c r="C183" s="122">
        <v>0</v>
      </c>
      <c r="D183" s="113" t="s">
        <v>147</v>
      </c>
      <c r="E183" s="123">
        <v>0</v>
      </c>
      <c r="F183" s="115" t="s">
        <v>147</v>
      </c>
      <c r="G183" s="122">
        <v>0</v>
      </c>
      <c r="H183" s="113" t="s">
        <v>147</v>
      </c>
      <c r="I183" s="123">
        <v>0</v>
      </c>
      <c r="J183" s="115" t="s">
        <v>147</v>
      </c>
      <c r="K183" s="122">
        <v>0</v>
      </c>
      <c r="L183" s="113" t="s">
        <v>147</v>
      </c>
      <c r="M183" s="123">
        <v>0</v>
      </c>
      <c r="N183" s="115" t="s">
        <v>147</v>
      </c>
      <c r="O183" s="122">
        <v>0</v>
      </c>
      <c r="P183" s="113" t="s">
        <v>147</v>
      </c>
      <c r="Q183" s="123">
        <v>0</v>
      </c>
      <c r="R183" s="115" t="s">
        <v>147</v>
      </c>
      <c r="S183" s="61"/>
      <c r="U183" s="116">
        <f t="shared" si="4"/>
        <v>1</v>
      </c>
      <c r="V183" s="117">
        <v>1</v>
      </c>
      <c r="W183" s="118">
        <v>0</v>
      </c>
      <c r="X183" s="116">
        <f t="shared" si="5"/>
        <v>5</v>
      </c>
      <c r="Y183" s="117">
        <v>5</v>
      </c>
      <c r="Z183" s="118">
        <v>0</v>
      </c>
      <c r="AA183" s="124">
        <v>1</v>
      </c>
      <c r="AB183" s="125">
        <v>1</v>
      </c>
      <c r="AC183" s="125">
        <v>0</v>
      </c>
      <c r="AD183" s="117">
        <v>0</v>
      </c>
      <c r="AE183" s="117">
        <v>0</v>
      </c>
      <c r="AF183" s="126" t="str">
        <f t="shared" si="3"/>
        <v>DBS721 - Sounder interbase, Volume Low</v>
      </c>
    </row>
    <row r="184" spans="1:32" ht="13" hidden="1" outlineLevel="1" x14ac:dyDescent="0.25">
      <c r="A184" s="59"/>
      <c r="B184" s="345" t="s">
        <v>872</v>
      </c>
      <c r="C184" s="122">
        <v>0</v>
      </c>
      <c r="D184" s="113" t="s">
        <v>147</v>
      </c>
      <c r="E184" s="123">
        <v>0</v>
      </c>
      <c r="F184" s="115" t="s">
        <v>147</v>
      </c>
      <c r="G184" s="122">
        <v>0</v>
      </c>
      <c r="H184" s="113" t="s">
        <v>147</v>
      </c>
      <c r="I184" s="123">
        <v>0</v>
      </c>
      <c r="J184" s="115" t="s">
        <v>147</v>
      </c>
      <c r="K184" s="122">
        <v>0</v>
      </c>
      <c r="L184" s="113" t="s">
        <v>147</v>
      </c>
      <c r="M184" s="123">
        <v>0</v>
      </c>
      <c r="N184" s="115" t="s">
        <v>147</v>
      </c>
      <c r="O184" s="122">
        <v>0</v>
      </c>
      <c r="P184" s="113" t="s">
        <v>147</v>
      </c>
      <c r="Q184" s="123">
        <v>0</v>
      </c>
      <c r="R184" s="115" t="s">
        <v>147</v>
      </c>
      <c r="S184" s="61"/>
      <c r="U184" s="116">
        <f t="shared" si="4"/>
        <v>1</v>
      </c>
      <c r="V184" s="117">
        <v>1</v>
      </c>
      <c r="W184" s="118">
        <v>0</v>
      </c>
      <c r="X184" s="116">
        <f t="shared" si="5"/>
        <v>15</v>
      </c>
      <c r="Y184" s="117">
        <v>15</v>
      </c>
      <c r="Z184" s="118">
        <v>0</v>
      </c>
      <c r="AA184" s="124">
        <v>1</v>
      </c>
      <c r="AB184" s="125">
        <v>1</v>
      </c>
      <c r="AC184" s="125">
        <v>0</v>
      </c>
      <c r="AD184" s="117">
        <v>1</v>
      </c>
      <c r="AE184" s="117">
        <v>0</v>
      </c>
      <c r="AF184" s="126" t="str">
        <f t="shared" si="3"/>
        <v>FDS224-R, FDS224-W - Sounder red or white housing, Volume High</v>
      </c>
    </row>
    <row r="185" spans="1:32" ht="13" hidden="1" outlineLevel="1" x14ac:dyDescent="0.25">
      <c r="A185" s="59"/>
      <c r="B185" s="345" t="s">
        <v>873</v>
      </c>
      <c r="C185" s="122">
        <v>0</v>
      </c>
      <c r="D185" s="113" t="s">
        <v>147</v>
      </c>
      <c r="E185" s="123">
        <v>0</v>
      </c>
      <c r="F185" s="115" t="s">
        <v>147</v>
      </c>
      <c r="G185" s="122">
        <v>0</v>
      </c>
      <c r="H185" s="113" t="s">
        <v>147</v>
      </c>
      <c r="I185" s="123">
        <v>0</v>
      </c>
      <c r="J185" s="115" t="s">
        <v>147</v>
      </c>
      <c r="K185" s="122">
        <v>0</v>
      </c>
      <c r="L185" s="113" t="s">
        <v>147</v>
      </c>
      <c r="M185" s="123">
        <v>0</v>
      </c>
      <c r="N185" s="115" t="s">
        <v>147</v>
      </c>
      <c r="O185" s="122">
        <v>0</v>
      </c>
      <c r="P185" s="113" t="s">
        <v>147</v>
      </c>
      <c r="Q185" s="123">
        <v>0</v>
      </c>
      <c r="R185" s="115" t="s">
        <v>147</v>
      </c>
      <c r="S185" s="61"/>
      <c r="U185" s="116">
        <f t="shared" si="4"/>
        <v>1</v>
      </c>
      <c r="V185" s="117">
        <v>1</v>
      </c>
      <c r="W185" s="118">
        <v>0</v>
      </c>
      <c r="X185" s="116">
        <f t="shared" si="5"/>
        <v>8</v>
      </c>
      <c r="Y185" s="117">
        <v>8</v>
      </c>
      <c r="Z185" s="118">
        <v>0</v>
      </c>
      <c r="AA185" s="124">
        <v>1</v>
      </c>
      <c r="AB185" s="125">
        <v>1</v>
      </c>
      <c r="AC185" s="125">
        <v>0</v>
      </c>
      <c r="AD185" s="117">
        <v>1</v>
      </c>
      <c r="AE185" s="117">
        <v>0</v>
      </c>
      <c r="AF185" s="126" t="str">
        <f t="shared" si="3"/>
        <v>FDS224-R, FDS224-W - Sounder red or white housing, Volume Medium</v>
      </c>
    </row>
    <row r="186" spans="1:32" ht="13" hidden="1" outlineLevel="1" x14ac:dyDescent="0.25">
      <c r="A186" s="59"/>
      <c r="B186" s="121" t="s">
        <v>874</v>
      </c>
      <c r="C186" s="122">
        <v>0</v>
      </c>
      <c r="D186" s="115" t="s">
        <v>147</v>
      </c>
      <c r="E186" s="122">
        <v>0</v>
      </c>
      <c r="F186" s="138" t="s">
        <v>147</v>
      </c>
      <c r="G186" s="122">
        <v>0</v>
      </c>
      <c r="H186" s="138" t="s">
        <v>147</v>
      </c>
      <c r="I186" s="122">
        <v>0</v>
      </c>
      <c r="J186" s="138" t="s">
        <v>147</v>
      </c>
      <c r="K186" s="122">
        <v>0</v>
      </c>
      <c r="L186" s="138" t="s">
        <v>147</v>
      </c>
      <c r="M186" s="122">
        <v>0</v>
      </c>
      <c r="N186" s="138" t="s">
        <v>147</v>
      </c>
      <c r="O186" s="122">
        <v>0</v>
      </c>
      <c r="P186" s="138" t="s">
        <v>147</v>
      </c>
      <c r="Q186" s="122">
        <v>0</v>
      </c>
      <c r="R186" s="138" t="s">
        <v>147</v>
      </c>
      <c r="S186" s="61"/>
      <c r="U186" s="116">
        <f t="shared" si="4"/>
        <v>1</v>
      </c>
      <c r="V186" s="117">
        <v>1</v>
      </c>
      <c r="W186" s="118">
        <v>0</v>
      </c>
      <c r="X186" s="116">
        <f t="shared" si="5"/>
        <v>6</v>
      </c>
      <c r="Y186" s="117">
        <v>6</v>
      </c>
      <c r="Z186" s="118">
        <v>0</v>
      </c>
      <c r="AA186" s="124">
        <v>1</v>
      </c>
      <c r="AB186" s="125">
        <v>1</v>
      </c>
      <c r="AC186" s="125">
        <v>0</v>
      </c>
      <c r="AD186" s="117">
        <v>1</v>
      </c>
      <c r="AE186" s="117">
        <v>0</v>
      </c>
      <c r="AF186" s="126" t="str">
        <f t="shared" si="3"/>
        <v>FDS224-R, FDS224-W - Sounder red or white housing, Volume Low</v>
      </c>
    </row>
    <row r="187" spans="1:32" ht="13" hidden="1" outlineLevel="1" x14ac:dyDescent="0.25">
      <c r="A187" s="59"/>
      <c r="B187" s="121" t="s">
        <v>956</v>
      </c>
      <c r="C187" s="122">
        <v>0</v>
      </c>
      <c r="D187" s="113" t="s">
        <v>780</v>
      </c>
      <c r="E187" s="122">
        <v>0</v>
      </c>
      <c r="F187" s="115" t="s">
        <v>147</v>
      </c>
      <c r="G187" s="122">
        <v>0</v>
      </c>
      <c r="H187" s="115" t="s">
        <v>147</v>
      </c>
      <c r="I187" s="122">
        <v>0</v>
      </c>
      <c r="J187" s="115" t="s">
        <v>147</v>
      </c>
      <c r="K187" s="122">
        <v>0</v>
      </c>
      <c r="L187" s="115" t="s">
        <v>147</v>
      </c>
      <c r="M187" s="122">
        <v>0</v>
      </c>
      <c r="N187" s="115" t="s">
        <v>147</v>
      </c>
      <c r="O187" s="122">
        <v>0</v>
      </c>
      <c r="P187" s="115" t="s">
        <v>147</v>
      </c>
      <c r="Q187" s="122">
        <v>0</v>
      </c>
      <c r="R187" s="115" t="s">
        <v>147</v>
      </c>
      <c r="S187" s="61"/>
      <c r="U187" s="116">
        <f t="shared" si="4"/>
        <v>1</v>
      </c>
      <c r="V187" s="117">
        <v>1</v>
      </c>
      <c r="W187" s="118">
        <v>0</v>
      </c>
      <c r="X187" s="116">
        <f t="shared" si="5"/>
        <v>15</v>
      </c>
      <c r="Y187" s="117">
        <v>15</v>
      </c>
      <c r="Z187" s="118">
        <v>0</v>
      </c>
      <c r="AA187" s="124">
        <v>1</v>
      </c>
      <c r="AB187" s="125">
        <v>1</v>
      </c>
      <c r="AC187" s="125">
        <v>0</v>
      </c>
      <c r="AD187" s="117">
        <v>1</v>
      </c>
      <c r="AE187" s="117">
        <v>0</v>
      </c>
      <c r="AF187" s="126" t="str">
        <f t="shared" si="3"/>
        <v>FDS364-R, FDS364-W - Sounder red or white housing, Volume High</v>
      </c>
    </row>
    <row r="188" spans="1:32" hidden="1" x14ac:dyDescent="0.25">
      <c r="A188" s="59"/>
      <c r="B188" s="121"/>
      <c r="C188" s="122"/>
      <c r="D188" s="115"/>
      <c r="E188" s="122"/>
      <c r="F188" s="138"/>
      <c r="G188" s="122"/>
      <c r="H188" s="138"/>
      <c r="I188" s="122"/>
      <c r="J188" s="138"/>
      <c r="K188" s="122"/>
      <c r="L188" s="138"/>
      <c r="M188" s="122"/>
      <c r="N188" s="138"/>
      <c r="O188" s="122"/>
      <c r="P188" s="138"/>
      <c r="Q188" s="122"/>
      <c r="R188" s="138"/>
      <c r="S188" s="61"/>
      <c r="U188" s="143"/>
      <c r="V188" s="117"/>
      <c r="W188" s="118"/>
      <c r="X188" s="143"/>
      <c r="Y188" s="117"/>
      <c r="Z188" s="118"/>
      <c r="AA188" s="124"/>
      <c r="AB188" s="125"/>
      <c r="AC188" s="125"/>
      <c r="AD188" s="117"/>
      <c r="AE188" s="117"/>
      <c r="AF188" s="126">
        <f t="shared" si="3"/>
        <v>0</v>
      </c>
    </row>
    <row r="189" spans="1:32" hidden="1" x14ac:dyDescent="0.25">
      <c r="A189" s="59"/>
      <c r="B189" s="121"/>
      <c r="C189" s="122"/>
      <c r="D189" s="115"/>
      <c r="E189" s="122"/>
      <c r="F189" s="138"/>
      <c r="G189" s="122"/>
      <c r="H189" s="138"/>
      <c r="I189" s="122"/>
      <c r="J189" s="138"/>
      <c r="K189" s="122"/>
      <c r="L189" s="138"/>
      <c r="M189" s="122"/>
      <c r="N189" s="138"/>
      <c r="O189" s="122"/>
      <c r="P189" s="138"/>
      <c r="Q189" s="122"/>
      <c r="R189" s="138"/>
      <c r="S189" s="61"/>
      <c r="U189" s="143"/>
      <c r="V189" s="117"/>
      <c r="W189" s="118"/>
      <c r="X189" s="143"/>
      <c r="Y189" s="117"/>
      <c r="Z189" s="118"/>
      <c r="AA189" s="124"/>
      <c r="AB189" s="125"/>
      <c r="AC189" s="125"/>
      <c r="AD189" s="117"/>
      <c r="AE189" s="117"/>
      <c r="AF189" s="126">
        <f t="shared" si="3"/>
        <v>0</v>
      </c>
    </row>
    <row r="190" spans="1:32" hidden="1" x14ac:dyDescent="0.25">
      <c r="A190" s="59"/>
      <c r="B190" s="121"/>
      <c r="C190" s="122"/>
      <c r="D190" s="115"/>
      <c r="E190" s="122"/>
      <c r="F190" s="138"/>
      <c r="G190" s="122"/>
      <c r="H190" s="138"/>
      <c r="I190" s="122"/>
      <c r="J190" s="138"/>
      <c r="K190" s="122"/>
      <c r="L190" s="138"/>
      <c r="M190" s="122"/>
      <c r="N190" s="138"/>
      <c r="O190" s="122"/>
      <c r="P190" s="138"/>
      <c r="Q190" s="122"/>
      <c r="R190" s="138"/>
      <c r="S190" s="61"/>
      <c r="U190" s="143"/>
      <c r="V190" s="117"/>
      <c r="W190" s="118"/>
      <c r="X190" s="143"/>
      <c r="Y190" s="117"/>
      <c r="Z190" s="118"/>
      <c r="AA190" s="124"/>
      <c r="AB190" s="125"/>
      <c r="AC190" s="125"/>
      <c r="AD190" s="117"/>
      <c r="AE190" s="117"/>
      <c r="AF190" s="126">
        <f t="shared" si="3"/>
        <v>0</v>
      </c>
    </row>
    <row r="191" spans="1:32" hidden="1" x14ac:dyDescent="0.25">
      <c r="A191" s="59"/>
      <c r="B191" s="121"/>
      <c r="C191" s="122"/>
      <c r="D191" s="115"/>
      <c r="E191" s="122"/>
      <c r="F191" s="138"/>
      <c r="G191" s="122"/>
      <c r="H191" s="138"/>
      <c r="I191" s="122"/>
      <c r="J191" s="138"/>
      <c r="K191" s="122"/>
      <c r="L191" s="138"/>
      <c r="M191" s="122"/>
      <c r="N191" s="138"/>
      <c r="O191" s="122"/>
      <c r="P191" s="138"/>
      <c r="Q191" s="122"/>
      <c r="R191" s="138"/>
      <c r="S191" s="61"/>
      <c r="U191" s="143"/>
      <c r="V191" s="117"/>
      <c r="W191" s="118"/>
      <c r="X191" s="143"/>
      <c r="Y191" s="117"/>
      <c r="Z191" s="118"/>
      <c r="AA191" s="124"/>
      <c r="AB191" s="125"/>
      <c r="AC191" s="125"/>
      <c r="AD191" s="117"/>
      <c r="AE191" s="117"/>
      <c r="AF191" s="126">
        <f t="shared" si="3"/>
        <v>0</v>
      </c>
    </row>
    <row r="192" spans="1:32" hidden="1" x14ac:dyDescent="0.25">
      <c r="A192" s="59"/>
      <c r="B192" s="121"/>
      <c r="C192" s="122"/>
      <c r="D192" s="115"/>
      <c r="E192" s="122"/>
      <c r="F192" s="138"/>
      <c r="G192" s="122"/>
      <c r="H192" s="138"/>
      <c r="I192" s="122"/>
      <c r="J192" s="138"/>
      <c r="K192" s="122"/>
      <c r="L192" s="138"/>
      <c r="M192" s="122"/>
      <c r="N192" s="138"/>
      <c r="O192" s="122"/>
      <c r="P192" s="138"/>
      <c r="Q192" s="122"/>
      <c r="R192" s="138"/>
      <c r="S192" s="61"/>
      <c r="U192" s="143"/>
      <c r="V192" s="117"/>
      <c r="W192" s="118"/>
      <c r="X192" s="143"/>
      <c r="Y192" s="117"/>
      <c r="Z192" s="118"/>
      <c r="AA192" s="124"/>
      <c r="AB192" s="125"/>
      <c r="AC192" s="125"/>
      <c r="AD192" s="117"/>
      <c r="AE192" s="117"/>
      <c r="AF192" s="126">
        <f t="shared" si="3"/>
        <v>0</v>
      </c>
    </row>
    <row r="193" spans="1:32" hidden="1" x14ac:dyDescent="0.25">
      <c r="A193" s="59"/>
      <c r="B193" s="121"/>
      <c r="C193" s="122"/>
      <c r="D193" s="115"/>
      <c r="E193" s="122"/>
      <c r="F193" s="138"/>
      <c r="G193" s="122"/>
      <c r="H193" s="138"/>
      <c r="I193" s="122"/>
      <c r="J193" s="138"/>
      <c r="K193" s="122"/>
      <c r="L193" s="138"/>
      <c r="M193" s="122"/>
      <c r="N193" s="138"/>
      <c r="O193" s="122"/>
      <c r="P193" s="138"/>
      <c r="Q193" s="122"/>
      <c r="R193" s="138"/>
      <c r="S193" s="61"/>
      <c r="U193" s="143"/>
      <c r="V193" s="117"/>
      <c r="W193" s="118"/>
      <c r="X193" s="143"/>
      <c r="Y193" s="117"/>
      <c r="Z193" s="118"/>
      <c r="AA193" s="124"/>
      <c r="AB193" s="125"/>
      <c r="AC193" s="125"/>
      <c r="AD193" s="117"/>
      <c r="AE193" s="117"/>
      <c r="AF193" s="126">
        <f t="shared" si="3"/>
        <v>0</v>
      </c>
    </row>
    <row r="194" spans="1:32" hidden="1" x14ac:dyDescent="0.25">
      <c r="A194" s="59"/>
      <c r="B194" s="121"/>
      <c r="C194" s="122"/>
      <c r="D194" s="115"/>
      <c r="E194" s="122"/>
      <c r="F194" s="138"/>
      <c r="G194" s="122"/>
      <c r="H194" s="138"/>
      <c r="I194" s="122"/>
      <c r="J194" s="138"/>
      <c r="K194" s="122"/>
      <c r="L194" s="138"/>
      <c r="M194" s="122"/>
      <c r="N194" s="138"/>
      <c r="O194" s="122"/>
      <c r="P194" s="138"/>
      <c r="Q194" s="122"/>
      <c r="R194" s="138"/>
      <c r="S194" s="61"/>
      <c r="U194" s="143"/>
      <c r="V194" s="117"/>
      <c r="W194" s="118"/>
      <c r="X194" s="143"/>
      <c r="Y194" s="117"/>
      <c r="Z194" s="118"/>
      <c r="AA194" s="124"/>
      <c r="AB194" s="125"/>
      <c r="AC194" s="125"/>
      <c r="AD194" s="117"/>
      <c r="AE194" s="117"/>
      <c r="AF194" s="126">
        <f t="shared" si="3"/>
        <v>0</v>
      </c>
    </row>
    <row r="195" spans="1:32" hidden="1" x14ac:dyDescent="0.25">
      <c r="A195" s="59"/>
      <c r="B195" s="121"/>
      <c r="C195" s="122"/>
      <c r="D195" s="115"/>
      <c r="E195" s="122"/>
      <c r="F195" s="138"/>
      <c r="G195" s="122"/>
      <c r="H195" s="138"/>
      <c r="I195" s="122"/>
      <c r="J195" s="138"/>
      <c r="K195" s="122"/>
      <c r="L195" s="138"/>
      <c r="M195" s="122"/>
      <c r="N195" s="138"/>
      <c r="O195" s="122"/>
      <c r="P195" s="138"/>
      <c r="Q195" s="122"/>
      <c r="R195" s="138"/>
      <c r="S195" s="61"/>
      <c r="U195" s="143"/>
      <c r="V195" s="117"/>
      <c r="W195" s="118"/>
      <c r="X195" s="143"/>
      <c r="Y195" s="117"/>
      <c r="Z195" s="118"/>
      <c r="AA195" s="124"/>
      <c r="AB195" s="125"/>
      <c r="AC195" s="125"/>
      <c r="AD195" s="117"/>
      <c r="AE195" s="117"/>
      <c r="AF195" s="126">
        <f t="shared" si="3"/>
        <v>0</v>
      </c>
    </row>
    <row r="196" spans="1:32" ht="13" collapsed="1" x14ac:dyDescent="0.25">
      <c r="A196" s="59"/>
      <c r="B196" s="660" t="s">
        <v>417</v>
      </c>
      <c r="C196" s="130"/>
      <c r="D196" s="130"/>
      <c r="E196" s="130"/>
      <c r="F196" s="130"/>
      <c r="G196" s="130"/>
      <c r="H196" s="130"/>
      <c r="I196" s="130"/>
      <c r="J196" s="130"/>
      <c r="K196" s="130"/>
      <c r="L196" s="130"/>
      <c r="M196" s="130"/>
      <c r="N196" s="130"/>
      <c r="O196" s="130"/>
      <c r="P196" s="130"/>
      <c r="Q196" s="130"/>
      <c r="R196" s="131"/>
      <c r="S196" s="94"/>
      <c r="U196" s="145"/>
      <c r="V196" s="136"/>
      <c r="W196" s="134"/>
      <c r="X196" s="144"/>
      <c r="Y196" s="133"/>
      <c r="Z196" s="134"/>
      <c r="AA196" s="135"/>
      <c r="AB196" s="136"/>
      <c r="AC196" s="136"/>
      <c r="AD196" s="136"/>
      <c r="AE196" s="136"/>
      <c r="AF196" s="137" t="str">
        <f t="shared" si="3"/>
        <v>Alarm devices - Sound and Voice</v>
      </c>
    </row>
    <row r="197" spans="1:32" ht="13" hidden="1" outlineLevel="1" x14ac:dyDescent="0.25">
      <c r="A197" s="59"/>
      <c r="B197" s="345" t="s">
        <v>875</v>
      </c>
      <c r="C197" s="122">
        <v>0</v>
      </c>
      <c r="D197" s="113" t="s">
        <v>147</v>
      </c>
      <c r="E197" s="123">
        <v>0</v>
      </c>
      <c r="F197" s="115" t="s">
        <v>147</v>
      </c>
      <c r="G197" s="122">
        <v>0</v>
      </c>
      <c r="H197" s="113" t="s">
        <v>147</v>
      </c>
      <c r="I197" s="123">
        <v>0</v>
      </c>
      <c r="J197" s="115" t="s">
        <v>147</v>
      </c>
      <c r="K197" s="122">
        <v>0</v>
      </c>
      <c r="L197" s="113" t="s">
        <v>147</v>
      </c>
      <c r="M197" s="123">
        <v>0</v>
      </c>
      <c r="N197" s="115" t="s">
        <v>147</v>
      </c>
      <c r="O197" s="122">
        <v>0</v>
      </c>
      <c r="P197" s="113" t="s">
        <v>147</v>
      </c>
      <c r="Q197" s="123">
        <v>0</v>
      </c>
      <c r="R197" s="115" t="s">
        <v>147</v>
      </c>
      <c r="S197" s="61"/>
      <c r="U197" s="116">
        <f t="shared" ref="U197:U202" si="6">V197+W197</f>
        <v>1</v>
      </c>
      <c r="V197" s="117">
        <v>1</v>
      </c>
      <c r="W197" s="118">
        <v>0</v>
      </c>
      <c r="X197" s="116">
        <f t="shared" ref="X197:X202" si="7">Y197+Z197</f>
        <v>18</v>
      </c>
      <c r="Y197" s="117">
        <v>18</v>
      </c>
      <c r="Z197" s="118">
        <v>0</v>
      </c>
      <c r="AA197" s="124">
        <v>1</v>
      </c>
      <c r="AB197" s="125">
        <v>1</v>
      </c>
      <c r="AC197" s="125">
        <v>0</v>
      </c>
      <c r="AD197" s="117">
        <v>1</v>
      </c>
      <c r="AE197" s="117">
        <v>0</v>
      </c>
      <c r="AF197" s="126" t="str">
        <f t="shared" si="3"/>
        <v>FDS225-R, FDS225-W - Voice sounder red or white housing, Volume High</v>
      </c>
    </row>
    <row r="198" spans="1:32" ht="13" hidden="1" outlineLevel="1" x14ac:dyDescent="0.25">
      <c r="A198" s="59"/>
      <c r="B198" s="345" t="s">
        <v>876</v>
      </c>
      <c r="C198" s="122">
        <v>0</v>
      </c>
      <c r="D198" s="113" t="s">
        <v>147</v>
      </c>
      <c r="E198" s="123">
        <v>0</v>
      </c>
      <c r="F198" s="115" t="s">
        <v>147</v>
      </c>
      <c r="G198" s="122">
        <v>0</v>
      </c>
      <c r="H198" s="113" t="s">
        <v>147</v>
      </c>
      <c r="I198" s="123">
        <v>0</v>
      </c>
      <c r="J198" s="115" t="s">
        <v>147</v>
      </c>
      <c r="K198" s="122">
        <v>0</v>
      </c>
      <c r="L198" s="113" t="s">
        <v>147</v>
      </c>
      <c r="M198" s="123">
        <v>0</v>
      </c>
      <c r="N198" s="115" t="s">
        <v>147</v>
      </c>
      <c r="O198" s="122">
        <v>0</v>
      </c>
      <c r="P198" s="113" t="s">
        <v>147</v>
      </c>
      <c r="Q198" s="123">
        <v>0</v>
      </c>
      <c r="R198" s="115" t="s">
        <v>147</v>
      </c>
      <c r="S198" s="61"/>
      <c r="U198" s="116">
        <f t="shared" si="6"/>
        <v>1</v>
      </c>
      <c r="V198" s="117">
        <v>1</v>
      </c>
      <c r="W198" s="118">
        <v>0</v>
      </c>
      <c r="X198" s="116">
        <f t="shared" si="7"/>
        <v>13</v>
      </c>
      <c r="Y198" s="117">
        <v>13</v>
      </c>
      <c r="Z198" s="118">
        <v>0</v>
      </c>
      <c r="AA198" s="124">
        <v>1</v>
      </c>
      <c r="AB198" s="125">
        <v>1</v>
      </c>
      <c r="AC198" s="125">
        <v>0</v>
      </c>
      <c r="AD198" s="117">
        <v>1</v>
      </c>
      <c r="AE198" s="117">
        <v>0</v>
      </c>
      <c r="AF198" s="126" t="str">
        <f t="shared" si="3"/>
        <v>FDS225-R, FDS225-W - Voice sounder red or white housing, Volume Medium</v>
      </c>
    </row>
    <row r="199" spans="1:32" ht="13" hidden="1" outlineLevel="1" x14ac:dyDescent="0.25">
      <c r="A199" s="59"/>
      <c r="B199" s="345" t="s">
        <v>877</v>
      </c>
      <c r="C199" s="122">
        <v>0</v>
      </c>
      <c r="D199" s="113" t="s">
        <v>147</v>
      </c>
      <c r="E199" s="123">
        <v>0</v>
      </c>
      <c r="F199" s="115" t="s">
        <v>147</v>
      </c>
      <c r="G199" s="122">
        <v>0</v>
      </c>
      <c r="H199" s="113" t="s">
        <v>147</v>
      </c>
      <c r="I199" s="123">
        <v>0</v>
      </c>
      <c r="J199" s="115" t="s">
        <v>147</v>
      </c>
      <c r="K199" s="122">
        <v>0</v>
      </c>
      <c r="L199" s="113" t="s">
        <v>147</v>
      </c>
      <c r="M199" s="123">
        <v>0</v>
      </c>
      <c r="N199" s="115" t="s">
        <v>147</v>
      </c>
      <c r="O199" s="122">
        <v>0</v>
      </c>
      <c r="P199" s="113" t="s">
        <v>147</v>
      </c>
      <c r="Q199" s="123">
        <v>0</v>
      </c>
      <c r="R199" s="115" t="s">
        <v>147</v>
      </c>
      <c r="S199" s="61"/>
      <c r="U199" s="116">
        <f t="shared" si="6"/>
        <v>1</v>
      </c>
      <c r="V199" s="117">
        <v>1</v>
      </c>
      <c r="W199" s="118">
        <v>0</v>
      </c>
      <c r="X199" s="116">
        <f t="shared" si="7"/>
        <v>12</v>
      </c>
      <c r="Y199" s="117">
        <v>12</v>
      </c>
      <c r="Z199" s="118">
        <v>0</v>
      </c>
      <c r="AA199" s="124">
        <v>1</v>
      </c>
      <c r="AB199" s="125">
        <v>1</v>
      </c>
      <c r="AC199" s="125">
        <v>0</v>
      </c>
      <c r="AD199" s="117">
        <v>1</v>
      </c>
      <c r="AE199" s="117">
        <v>0</v>
      </c>
      <c r="AF199" s="126" t="str">
        <f t="shared" si="3"/>
        <v>FDS225-R, FDS225-W - Voice sounder red or white housing, Volume Low</v>
      </c>
    </row>
    <row r="200" spans="1:32" s="148" customFormat="1" ht="13" hidden="1" outlineLevel="1" x14ac:dyDescent="0.25">
      <c r="A200" s="146"/>
      <c r="B200" s="345" t="s">
        <v>878</v>
      </c>
      <c r="C200" s="122">
        <v>0</v>
      </c>
      <c r="D200" s="113" t="s">
        <v>147</v>
      </c>
      <c r="E200" s="123">
        <v>0</v>
      </c>
      <c r="F200" s="115" t="s">
        <v>147</v>
      </c>
      <c r="G200" s="122">
        <v>0</v>
      </c>
      <c r="H200" s="113" t="s">
        <v>147</v>
      </c>
      <c r="I200" s="123">
        <v>0</v>
      </c>
      <c r="J200" s="115" t="s">
        <v>147</v>
      </c>
      <c r="K200" s="122">
        <v>0</v>
      </c>
      <c r="L200" s="113" t="s">
        <v>147</v>
      </c>
      <c r="M200" s="123">
        <v>0</v>
      </c>
      <c r="N200" s="115" t="s">
        <v>147</v>
      </c>
      <c r="O200" s="122">
        <v>0</v>
      </c>
      <c r="P200" s="113" t="s">
        <v>147</v>
      </c>
      <c r="Q200" s="123">
        <v>0</v>
      </c>
      <c r="R200" s="115" t="s">
        <v>147</v>
      </c>
      <c r="S200" s="147"/>
      <c r="U200" s="116">
        <f t="shared" si="6"/>
        <v>1.25</v>
      </c>
      <c r="V200" s="117">
        <v>1.25</v>
      </c>
      <c r="W200" s="149">
        <v>0</v>
      </c>
      <c r="X200" s="116">
        <f t="shared" si="7"/>
        <v>18</v>
      </c>
      <c r="Y200" s="117">
        <v>18</v>
      </c>
      <c r="Z200" s="149">
        <v>0</v>
      </c>
      <c r="AA200" s="124">
        <v>1</v>
      </c>
      <c r="AB200" s="125">
        <v>1</v>
      </c>
      <c r="AC200" s="125">
        <v>0</v>
      </c>
      <c r="AD200" s="117">
        <v>1</v>
      </c>
      <c r="AE200" s="117">
        <v>0</v>
      </c>
      <c r="AF200" s="126" t="str">
        <f t="shared" si="3"/>
        <v>FDS226, FDS227 - Sounder used without beacon functionality, Volume High</v>
      </c>
    </row>
    <row r="201" spans="1:32" s="148" customFormat="1" ht="13" hidden="1" outlineLevel="1" x14ac:dyDescent="0.25">
      <c r="A201" s="146"/>
      <c r="B201" s="345" t="s">
        <v>879</v>
      </c>
      <c r="C201" s="122">
        <v>0</v>
      </c>
      <c r="D201" s="113" t="s">
        <v>147</v>
      </c>
      <c r="E201" s="123">
        <v>0</v>
      </c>
      <c r="F201" s="115" t="s">
        <v>147</v>
      </c>
      <c r="G201" s="122">
        <v>0</v>
      </c>
      <c r="H201" s="113" t="s">
        <v>147</v>
      </c>
      <c r="I201" s="123">
        <v>0</v>
      </c>
      <c r="J201" s="115" t="s">
        <v>147</v>
      </c>
      <c r="K201" s="122">
        <v>0</v>
      </c>
      <c r="L201" s="113" t="s">
        <v>147</v>
      </c>
      <c r="M201" s="123">
        <v>0</v>
      </c>
      <c r="N201" s="115" t="s">
        <v>147</v>
      </c>
      <c r="O201" s="122">
        <v>0</v>
      </c>
      <c r="P201" s="113" t="s">
        <v>147</v>
      </c>
      <c r="Q201" s="123">
        <v>0</v>
      </c>
      <c r="R201" s="115" t="s">
        <v>147</v>
      </c>
      <c r="S201" s="147"/>
      <c r="U201" s="116">
        <f t="shared" si="6"/>
        <v>1.25</v>
      </c>
      <c r="V201" s="117">
        <v>1.25</v>
      </c>
      <c r="W201" s="149">
        <v>0</v>
      </c>
      <c r="X201" s="116">
        <f t="shared" si="7"/>
        <v>13</v>
      </c>
      <c r="Y201" s="117">
        <v>13</v>
      </c>
      <c r="Z201" s="149">
        <v>0</v>
      </c>
      <c r="AA201" s="124">
        <v>1</v>
      </c>
      <c r="AB201" s="125">
        <v>1</v>
      </c>
      <c r="AC201" s="125">
        <v>0</v>
      </c>
      <c r="AD201" s="117">
        <v>1</v>
      </c>
      <c r="AE201" s="117">
        <v>0</v>
      </c>
      <c r="AF201" s="126" t="str">
        <f t="shared" si="3"/>
        <v>FDS226, FDS227 - Sounder used without beacon functionality, Volume Medium</v>
      </c>
    </row>
    <row r="202" spans="1:32" s="148" customFormat="1" ht="13" hidden="1" outlineLevel="1" x14ac:dyDescent="0.25">
      <c r="A202" s="146"/>
      <c r="B202" s="345" t="s">
        <v>880</v>
      </c>
      <c r="C202" s="122">
        <v>0</v>
      </c>
      <c r="D202" s="113" t="s">
        <v>147</v>
      </c>
      <c r="E202" s="123">
        <v>0</v>
      </c>
      <c r="F202" s="115" t="s">
        <v>147</v>
      </c>
      <c r="G202" s="122">
        <v>0</v>
      </c>
      <c r="H202" s="113" t="s">
        <v>147</v>
      </c>
      <c r="I202" s="123">
        <v>0</v>
      </c>
      <c r="J202" s="115" t="s">
        <v>147</v>
      </c>
      <c r="K202" s="122">
        <v>0</v>
      </c>
      <c r="L202" s="113" t="s">
        <v>147</v>
      </c>
      <c r="M202" s="123">
        <v>0</v>
      </c>
      <c r="N202" s="115" t="s">
        <v>147</v>
      </c>
      <c r="O202" s="122">
        <v>0</v>
      </c>
      <c r="P202" s="113" t="s">
        <v>147</v>
      </c>
      <c r="Q202" s="123">
        <v>0</v>
      </c>
      <c r="R202" s="115" t="s">
        <v>147</v>
      </c>
      <c r="S202" s="147"/>
      <c r="U202" s="116">
        <f t="shared" si="6"/>
        <v>1.25</v>
      </c>
      <c r="V202" s="117">
        <v>1.25</v>
      </c>
      <c r="W202" s="149">
        <v>0</v>
      </c>
      <c r="X202" s="116">
        <f t="shared" si="7"/>
        <v>12</v>
      </c>
      <c r="Y202" s="117">
        <v>12</v>
      </c>
      <c r="Z202" s="149">
        <v>0</v>
      </c>
      <c r="AA202" s="124">
        <v>1</v>
      </c>
      <c r="AB202" s="125">
        <v>1</v>
      </c>
      <c r="AC202" s="125">
        <v>0</v>
      </c>
      <c r="AD202" s="117">
        <v>1</v>
      </c>
      <c r="AE202" s="117">
        <v>0</v>
      </c>
      <c r="AF202" s="126" t="str">
        <f t="shared" si="3"/>
        <v>FDS226, FDS227 - Sounder used without beacon functionality, Volume Low</v>
      </c>
    </row>
    <row r="203" spans="1:32" hidden="1" x14ac:dyDescent="0.25">
      <c r="A203" s="59"/>
      <c r="B203" s="121"/>
      <c r="C203" s="122"/>
      <c r="D203" s="115"/>
      <c r="E203" s="122"/>
      <c r="F203" s="138"/>
      <c r="G203" s="122"/>
      <c r="H203" s="138"/>
      <c r="I203" s="122"/>
      <c r="J203" s="138"/>
      <c r="K203" s="122"/>
      <c r="L203" s="138"/>
      <c r="M203" s="122"/>
      <c r="N203" s="138"/>
      <c r="O203" s="122"/>
      <c r="P203" s="138"/>
      <c r="Q203" s="122"/>
      <c r="R203" s="138"/>
      <c r="S203" s="61"/>
      <c r="U203" s="143"/>
      <c r="V203" s="117"/>
      <c r="W203" s="118"/>
      <c r="X203" s="143"/>
      <c r="Y203" s="117"/>
      <c r="Z203" s="118"/>
      <c r="AA203" s="124"/>
      <c r="AB203" s="125"/>
      <c r="AC203" s="125"/>
      <c r="AD203" s="117"/>
      <c r="AE203" s="117"/>
      <c r="AF203" s="126">
        <f t="shared" si="3"/>
        <v>0</v>
      </c>
    </row>
    <row r="204" spans="1:32" hidden="1" x14ac:dyDescent="0.25">
      <c r="A204" s="59"/>
      <c r="B204" s="121"/>
      <c r="C204" s="122"/>
      <c r="D204" s="115"/>
      <c r="E204" s="122"/>
      <c r="F204" s="138"/>
      <c r="G204" s="122"/>
      <c r="H204" s="138"/>
      <c r="I204" s="122"/>
      <c r="J204" s="138"/>
      <c r="K204" s="122"/>
      <c r="L204" s="138"/>
      <c r="M204" s="122"/>
      <c r="N204" s="138"/>
      <c r="O204" s="122"/>
      <c r="P204" s="138"/>
      <c r="Q204" s="122"/>
      <c r="R204" s="138"/>
      <c r="S204" s="61"/>
      <c r="U204" s="143"/>
      <c r="V204" s="117"/>
      <c r="W204" s="118"/>
      <c r="X204" s="143"/>
      <c r="Y204" s="117"/>
      <c r="Z204" s="118"/>
      <c r="AA204" s="124"/>
      <c r="AB204" s="125"/>
      <c r="AC204" s="125"/>
      <c r="AD204" s="117"/>
      <c r="AE204" s="117"/>
      <c r="AF204" s="126">
        <f t="shared" si="3"/>
        <v>0</v>
      </c>
    </row>
    <row r="205" spans="1:32" hidden="1" x14ac:dyDescent="0.25">
      <c r="A205" s="59"/>
      <c r="B205" s="121"/>
      <c r="C205" s="122"/>
      <c r="D205" s="115"/>
      <c r="E205" s="122"/>
      <c r="F205" s="138"/>
      <c r="G205" s="122"/>
      <c r="H205" s="138"/>
      <c r="I205" s="122"/>
      <c r="J205" s="138"/>
      <c r="K205" s="122"/>
      <c r="L205" s="138"/>
      <c r="M205" s="122"/>
      <c r="N205" s="138"/>
      <c r="O205" s="122"/>
      <c r="P205" s="138"/>
      <c r="Q205" s="122"/>
      <c r="R205" s="138"/>
      <c r="S205" s="61"/>
      <c r="U205" s="143"/>
      <c r="V205" s="117"/>
      <c r="W205" s="118"/>
      <c r="X205" s="143"/>
      <c r="Y205" s="117"/>
      <c r="Z205" s="118"/>
      <c r="AA205" s="124"/>
      <c r="AB205" s="125"/>
      <c r="AC205" s="125"/>
      <c r="AD205" s="117"/>
      <c r="AE205" s="117"/>
      <c r="AF205" s="126">
        <f t="shared" si="3"/>
        <v>0</v>
      </c>
    </row>
    <row r="206" spans="1:32" hidden="1" x14ac:dyDescent="0.25">
      <c r="A206" s="59"/>
      <c r="B206" s="121"/>
      <c r="C206" s="122"/>
      <c r="D206" s="115"/>
      <c r="E206" s="122"/>
      <c r="F206" s="138"/>
      <c r="G206" s="122"/>
      <c r="H206" s="138"/>
      <c r="I206" s="122"/>
      <c r="J206" s="138"/>
      <c r="K206" s="122"/>
      <c r="L206" s="138"/>
      <c r="M206" s="122"/>
      <c r="N206" s="138"/>
      <c r="O206" s="122"/>
      <c r="P206" s="138"/>
      <c r="Q206" s="122"/>
      <c r="R206" s="138"/>
      <c r="S206" s="61"/>
      <c r="U206" s="143"/>
      <c r="V206" s="117"/>
      <c r="W206" s="118"/>
      <c r="X206" s="143"/>
      <c r="Y206" s="117"/>
      <c r="Z206" s="118"/>
      <c r="AA206" s="124"/>
      <c r="AB206" s="125"/>
      <c r="AC206" s="125"/>
      <c r="AD206" s="117"/>
      <c r="AE206" s="117"/>
      <c r="AF206" s="126">
        <f t="shared" si="3"/>
        <v>0</v>
      </c>
    </row>
    <row r="207" spans="1:32" hidden="1" x14ac:dyDescent="0.25">
      <c r="A207" s="59"/>
      <c r="B207" s="121"/>
      <c r="C207" s="122"/>
      <c r="D207" s="115"/>
      <c r="E207" s="122"/>
      <c r="F207" s="138"/>
      <c r="G207" s="122"/>
      <c r="H207" s="138"/>
      <c r="I207" s="122"/>
      <c r="J207" s="138"/>
      <c r="K207" s="122"/>
      <c r="L207" s="138"/>
      <c r="M207" s="122"/>
      <c r="N207" s="138"/>
      <c r="O207" s="122"/>
      <c r="P207" s="138"/>
      <c r="Q207" s="122"/>
      <c r="R207" s="138"/>
      <c r="S207" s="61"/>
      <c r="U207" s="143"/>
      <c r="V207" s="117"/>
      <c r="W207" s="118"/>
      <c r="X207" s="143"/>
      <c r="Y207" s="117"/>
      <c r="Z207" s="118"/>
      <c r="AA207" s="124"/>
      <c r="AB207" s="125"/>
      <c r="AC207" s="125"/>
      <c r="AD207" s="117"/>
      <c r="AE207" s="117"/>
      <c r="AF207" s="126">
        <f t="shared" si="3"/>
        <v>0</v>
      </c>
    </row>
    <row r="208" spans="1:32" hidden="1" x14ac:dyDescent="0.25">
      <c r="A208" s="59"/>
      <c r="B208" s="121"/>
      <c r="C208" s="122"/>
      <c r="D208" s="115"/>
      <c r="E208" s="122"/>
      <c r="F208" s="138"/>
      <c r="G208" s="122"/>
      <c r="H208" s="138"/>
      <c r="I208" s="122"/>
      <c r="J208" s="138"/>
      <c r="K208" s="122"/>
      <c r="L208" s="138"/>
      <c r="M208" s="122"/>
      <c r="N208" s="138"/>
      <c r="O208" s="122"/>
      <c r="P208" s="138"/>
      <c r="Q208" s="122"/>
      <c r="R208" s="138"/>
      <c r="S208" s="61"/>
      <c r="U208" s="143"/>
      <c r="V208" s="117"/>
      <c r="W208" s="118"/>
      <c r="X208" s="143"/>
      <c r="Y208" s="117"/>
      <c r="Z208" s="118"/>
      <c r="AA208" s="124"/>
      <c r="AB208" s="125"/>
      <c r="AC208" s="125"/>
      <c r="AD208" s="117"/>
      <c r="AE208" s="117"/>
      <c r="AF208" s="126">
        <f t="shared" si="3"/>
        <v>0</v>
      </c>
    </row>
    <row r="209" spans="1:32" hidden="1" x14ac:dyDescent="0.25">
      <c r="A209" s="59"/>
      <c r="B209" s="121"/>
      <c r="C209" s="122"/>
      <c r="D209" s="115"/>
      <c r="E209" s="122"/>
      <c r="F209" s="138"/>
      <c r="G209" s="122"/>
      <c r="H209" s="138"/>
      <c r="I209" s="122"/>
      <c r="J209" s="138"/>
      <c r="K209" s="122"/>
      <c r="L209" s="138"/>
      <c r="M209" s="122"/>
      <c r="N209" s="138"/>
      <c r="O209" s="122"/>
      <c r="P209" s="138"/>
      <c r="Q209" s="122"/>
      <c r="R209" s="138"/>
      <c r="S209" s="61"/>
      <c r="U209" s="143"/>
      <c r="V209" s="117"/>
      <c r="W209" s="118"/>
      <c r="X209" s="143"/>
      <c r="Y209" s="117"/>
      <c r="Z209" s="118"/>
      <c r="AA209" s="124"/>
      <c r="AB209" s="125"/>
      <c r="AC209" s="125"/>
      <c r="AD209" s="117"/>
      <c r="AE209" s="117"/>
      <c r="AF209" s="126">
        <f t="shared" si="3"/>
        <v>0</v>
      </c>
    </row>
    <row r="210" spans="1:32" hidden="1" x14ac:dyDescent="0.25">
      <c r="A210" s="59"/>
      <c r="B210" s="121"/>
      <c r="C210" s="122"/>
      <c r="D210" s="115"/>
      <c r="E210" s="122"/>
      <c r="F210" s="138"/>
      <c r="G210" s="122"/>
      <c r="H210" s="138"/>
      <c r="I210" s="122"/>
      <c r="J210" s="138"/>
      <c r="K210" s="122"/>
      <c r="L210" s="138"/>
      <c r="M210" s="122"/>
      <c r="N210" s="138"/>
      <c r="O210" s="122"/>
      <c r="P210" s="138"/>
      <c r="Q210" s="122"/>
      <c r="R210" s="138"/>
      <c r="S210" s="61"/>
      <c r="U210" s="143"/>
      <c r="V210" s="117"/>
      <c r="W210" s="118"/>
      <c r="X210" s="143"/>
      <c r="Y210" s="117"/>
      <c r="Z210" s="118"/>
      <c r="AA210" s="124"/>
      <c r="AB210" s="125"/>
      <c r="AC210" s="125"/>
      <c r="AD210" s="117"/>
      <c r="AE210" s="117"/>
      <c r="AF210" s="126">
        <f t="shared" si="3"/>
        <v>0</v>
      </c>
    </row>
    <row r="211" spans="1:32" hidden="1" x14ac:dyDescent="0.25">
      <c r="A211" s="59"/>
      <c r="B211" s="121"/>
      <c r="C211" s="122"/>
      <c r="D211" s="115"/>
      <c r="E211" s="122"/>
      <c r="F211" s="138"/>
      <c r="G211" s="122"/>
      <c r="H211" s="138"/>
      <c r="I211" s="122"/>
      <c r="J211" s="138"/>
      <c r="K211" s="122"/>
      <c r="L211" s="138"/>
      <c r="M211" s="122"/>
      <c r="N211" s="138"/>
      <c r="O211" s="122"/>
      <c r="P211" s="138"/>
      <c r="Q211" s="122"/>
      <c r="R211" s="138"/>
      <c r="S211" s="61"/>
      <c r="U211" s="143"/>
      <c r="V211" s="117"/>
      <c r="W211" s="118"/>
      <c r="X211" s="143"/>
      <c r="Y211" s="117"/>
      <c r="Z211" s="118"/>
      <c r="AA211" s="124"/>
      <c r="AB211" s="125"/>
      <c r="AC211" s="125"/>
      <c r="AD211" s="117"/>
      <c r="AE211" s="117"/>
      <c r="AF211" s="126">
        <f t="shared" si="3"/>
        <v>0</v>
      </c>
    </row>
    <row r="212" spans="1:32" hidden="1" x14ac:dyDescent="0.25">
      <c r="A212" s="59"/>
      <c r="B212" s="121"/>
      <c r="C212" s="122"/>
      <c r="D212" s="115"/>
      <c r="E212" s="122"/>
      <c r="F212" s="138"/>
      <c r="G212" s="122"/>
      <c r="H212" s="138"/>
      <c r="I212" s="122"/>
      <c r="J212" s="138"/>
      <c r="K212" s="122"/>
      <c r="L212" s="138"/>
      <c r="M212" s="122"/>
      <c r="N212" s="138"/>
      <c r="O212" s="122"/>
      <c r="P212" s="138"/>
      <c r="Q212" s="122"/>
      <c r="R212" s="138"/>
      <c r="S212" s="61"/>
      <c r="U212" s="143"/>
      <c r="V212" s="117"/>
      <c r="W212" s="118"/>
      <c r="X212" s="143"/>
      <c r="Y212" s="117"/>
      <c r="Z212" s="118"/>
      <c r="AA212" s="124"/>
      <c r="AB212" s="125"/>
      <c r="AC212" s="125"/>
      <c r="AD212" s="117"/>
      <c r="AE212" s="117"/>
      <c r="AF212" s="126">
        <f t="shared" ref="AF212:AF275" si="8">B212</f>
        <v>0</v>
      </c>
    </row>
    <row r="213" spans="1:32" ht="25.5" collapsed="1" x14ac:dyDescent="0.25">
      <c r="A213" s="59"/>
      <c r="B213" s="660" t="s">
        <v>972</v>
      </c>
      <c r="C213" s="130"/>
      <c r="D213" s="130"/>
      <c r="E213" s="130"/>
      <c r="F213" s="130"/>
      <c r="G213" s="130"/>
      <c r="H213" s="130"/>
      <c r="I213" s="130"/>
      <c r="J213" s="130"/>
      <c r="K213" s="130"/>
      <c r="L213" s="130"/>
      <c r="M213" s="130"/>
      <c r="N213" s="130"/>
      <c r="O213" s="130"/>
      <c r="P213" s="130"/>
      <c r="Q213" s="130"/>
      <c r="R213" s="131"/>
      <c r="S213" s="94"/>
      <c r="U213" s="145"/>
      <c r="V213" s="136"/>
      <c r="W213" s="134"/>
      <c r="X213" s="144"/>
      <c r="Y213" s="133"/>
      <c r="Z213" s="134"/>
      <c r="AA213" s="135"/>
      <c r="AB213" s="136"/>
      <c r="AC213" s="136"/>
      <c r="AD213" s="136"/>
      <c r="AE213" s="136"/>
      <c r="AF213" s="137" t="str">
        <f t="shared" si="8"/>
        <v>Alarm devices - Sound and Light (Beacon)
Volume settings is assumed as "high" for calculation.</v>
      </c>
    </row>
    <row r="214" spans="1:32" ht="13" hidden="1" outlineLevel="1" x14ac:dyDescent="0.25">
      <c r="A214" s="59"/>
      <c r="B214" s="346" t="s">
        <v>881</v>
      </c>
      <c r="C214" s="122">
        <v>0</v>
      </c>
      <c r="D214" s="113" t="s">
        <v>795</v>
      </c>
      <c r="E214" s="123">
        <v>0</v>
      </c>
      <c r="F214" s="115" t="s">
        <v>147</v>
      </c>
      <c r="G214" s="122">
        <v>0</v>
      </c>
      <c r="H214" s="113" t="s">
        <v>147</v>
      </c>
      <c r="I214" s="123">
        <v>0</v>
      </c>
      <c r="J214" s="115" t="s">
        <v>147</v>
      </c>
      <c r="K214" s="122">
        <v>0</v>
      </c>
      <c r="L214" s="113" t="s">
        <v>147</v>
      </c>
      <c r="M214" s="123">
        <v>0</v>
      </c>
      <c r="N214" s="115" t="s">
        <v>147</v>
      </c>
      <c r="O214" s="122">
        <v>0</v>
      </c>
      <c r="P214" s="113" t="s">
        <v>147</v>
      </c>
      <c r="Q214" s="123">
        <v>0</v>
      </c>
      <c r="R214" s="115" t="s">
        <v>147</v>
      </c>
      <c r="S214" s="61"/>
      <c r="U214" s="116">
        <f t="shared" ref="U214:U240" si="9">V214+W214</f>
        <v>1</v>
      </c>
      <c r="V214" s="117">
        <v>1</v>
      </c>
      <c r="W214" s="118">
        <v>0</v>
      </c>
      <c r="X214" s="116">
        <f t="shared" ref="X214:X240" si="10">Y214+Z214</f>
        <v>30</v>
      </c>
      <c r="Y214" s="117">
        <v>30</v>
      </c>
      <c r="Z214" s="118">
        <v>0</v>
      </c>
      <c r="AA214" s="124">
        <v>1</v>
      </c>
      <c r="AB214" s="125">
        <v>1</v>
      </c>
      <c r="AC214" s="125">
        <v>0</v>
      </c>
      <c r="AD214" s="117">
        <v>0</v>
      </c>
      <c r="AE214" s="117">
        <v>0</v>
      </c>
      <c r="AF214" s="126" t="str">
        <f t="shared" si="8"/>
        <v>FDS229-A, FDS229-R - Alarm sounder and beacon, amber or red, Light and Volume High</v>
      </c>
    </row>
    <row r="215" spans="1:32" ht="13" hidden="1" outlineLevel="1" x14ac:dyDescent="0.25">
      <c r="A215" s="59"/>
      <c r="B215" s="121" t="s">
        <v>882</v>
      </c>
      <c r="C215" s="122">
        <v>0</v>
      </c>
      <c r="D215" s="113" t="s">
        <v>147</v>
      </c>
      <c r="E215" s="123">
        <v>0</v>
      </c>
      <c r="F215" s="115" t="s">
        <v>147</v>
      </c>
      <c r="G215" s="122">
        <v>0</v>
      </c>
      <c r="H215" s="113" t="s">
        <v>147</v>
      </c>
      <c r="I215" s="123">
        <v>0</v>
      </c>
      <c r="J215" s="115" t="s">
        <v>147</v>
      </c>
      <c r="K215" s="122">
        <v>0</v>
      </c>
      <c r="L215" s="113" t="s">
        <v>147</v>
      </c>
      <c r="M215" s="123">
        <v>0</v>
      </c>
      <c r="N215" s="115" t="s">
        <v>147</v>
      </c>
      <c r="O215" s="122">
        <v>0</v>
      </c>
      <c r="P215" s="113" t="s">
        <v>147</v>
      </c>
      <c r="Q215" s="123">
        <v>0</v>
      </c>
      <c r="R215" s="115" t="s">
        <v>147</v>
      </c>
      <c r="S215" s="61"/>
      <c r="U215" s="116">
        <f t="shared" si="9"/>
        <v>1.25</v>
      </c>
      <c r="V215" s="117">
        <v>1.25</v>
      </c>
      <c r="W215" s="118">
        <v>0</v>
      </c>
      <c r="X215" s="116">
        <f t="shared" si="10"/>
        <v>111</v>
      </c>
      <c r="Y215" s="117">
        <v>22</v>
      </c>
      <c r="Z215" s="118">
        <v>89</v>
      </c>
      <c r="AA215" s="124">
        <v>1</v>
      </c>
      <c r="AB215" s="125">
        <v>1</v>
      </c>
      <c r="AC215" s="125">
        <v>0</v>
      </c>
      <c r="AD215" s="117">
        <v>1</v>
      </c>
      <c r="AE215" s="117">
        <v>1</v>
      </c>
      <c r="AF215" s="126" t="str">
        <f t="shared" si="8"/>
        <v>FDS226 - Sounder beacon, Red Light, High Intensity</v>
      </c>
    </row>
    <row r="216" spans="1:32" ht="13" hidden="1" outlineLevel="1" x14ac:dyDescent="0.25">
      <c r="A216" s="59"/>
      <c r="B216" s="121" t="s">
        <v>883</v>
      </c>
      <c r="C216" s="122">
        <v>0</v>
      </c>
      <c r="D216" s="113" t="s">
        <v>147</v>
      </c>
      <c r="E216" s="123">
        <v>0</v>
      </c>
      <c r="F216" s="115" t="s">
        <v>147</v>
      </c>
      <c r="G216" s="122">
        <v>0</v>
      </c>
      <c r="H216" s="113" t="s">
        <v>147</v>
      </c>
      <c r="I216" s="123">
        <v>0</v>
      </c>
      <c r="J216" s="115" t="s">
        <v>147</v>
      </c>
      <c r="K216" s="122">
        <v>0</v>
      </c>
      <c r="L216" s="113" t="s">
        <v>147</v>
      </c>
      <c r="M216" s="123">
        <v>0</v>
      </c>
      <c r="N216" s="115" t="s">
        <v>147</v>
      </c>
      <c r="O216" s="122">
        <v>0</v>
      </c>
      <c r="P216" s="113" t="s">
        <v>147</v>
      </c>
      <c r="Q216" s="123">
        <v>0</v>
      </c>
      <c r="R216" s="115" t="s">
        <v>147</v>
      </c>
      <c r="S216" s="61"/>
      <c r="U216" s="116">
        <f t="shared" si="9"/>
        <v>1.25</v>
      </c>
      <c r="V216" s="117">
        <v>1.25</v>
      </c>
      <c r="W216" s="118">
        <v>0</v>
      </c>
      <c r="X216" s="116">
        <f t="shared" si="10"/>
        <v>80</v>
      </c>
      <c r="Y216" s="117">
        <v>22</v>
      </c>
      <c r="Z216" s="118">
        <v>58</v>
      </c>
      <c r="AA216" s="124">
        <v>1</v>
      </c>
      <c r="AB216" s="125">
        <v>1</v>
      </c>
      <c r="AC216" s="125">
        <v>0</v>
      </c>
      <c r="AD216" s="117">
        <v>1</v>
      </c>
      <c r="AE216" s="117">
        <v>1</v>
      </c>
      <c r="AF216" s="126" t="str">
        <f t="shared" si="8"/>
        <v>FDS226 - Sounder beacon, Red Light, Medium Intensity</v>
      </c>
    </row>
    <row r="217" spans="1:32" ht="13" hidden="1" outlineLevel="1" x14ac:dyDescent="0.25">
      <c r="A217" s="59"/>
      <c r="B217" s="121" t="s">
        <v>884</v>
      </c>
      <c r="C217" s="122">
        <v>0</v>
      </c>
      <c r="D217" s="113" t="s">
        <v>147</v>
      </c>
      <c r="E217" s="123">
        <v>0</v>
      </c>
      <c r="F217" s="115" t="s">
        <v>147</v>
      </c>
      <c r="G217" s="122">
        <v>0</v>
      </c>
      <c r="H217" s="113" t="s">
        <v>147</v>
      </c>
      <c r="I217" s="123">
        <v>0</v>
      </c>
      <c r="J217" s="115" t="s">
        <v>147</v>
      </c>
      <c r="K217" s="122">
        <v>0</v>
      </c>
      <c r="L217" s="113" t="s">
        <v>147</v>
      </c>
      <c r="M217" s="123">
        <v>0</v>
      </c>
      <c r="N217" s="115" t="s">
        <v>147</v>
      </c>
      <c r="O217" s="122">
        <v>0</v>
      </c>
      <c r="P217" s="113" t="s">
        <v>147</v>
      </c>
      <c r="Q217" s="123">
        <v>0</v>
      </c>
      <c r="R217" s="115" t="s">
        <v>147</v>
      </c>
      <c r="S217" s="61"/>
      <c r="U217" s="116">
        <f t="shared" si="9"/>
        <v>1.25</v>
      </c>
      <c r="V217" s="117">
        <v>1.25</v>
      </c>
      <c r="W217" s="118">
        <v>0</v>
      </c>
      <c r="X217" s="116">
        <f t="shared" si="10"/>
        <v>64</v>
      </c>
      <c r="Y217" s="117">
        <v>22</v>
      </c>
      <c r="Z217" s="118">
        <v>42</v>
      </c>
      <c r="AA217" s="124">
        <v>1</v>
      </c>
      <c r="AB217" s="125">
        <v>1</v>
      </c>
      <c r="AC217" s="125">
        <v>0</v>
      </c>
      <c r="AD217" s="117">
        <v>1</v>
      </c>
      <c r="AE217" s="117">
        <v>1</v>
      </c>
      <c r="AF217" s="126" t="str">
        <f t="shared" si="8"/>
        <v>FDS226 - Sounder beacon, Red Light, Low Intensity</v>
      </c>
    </row>
    <row r="218" spans="1:32" ht="13" hidden="1" outlineLevel="1" x14ac:dyDescent="0.25">
      <c r="A218" s="59"/>
      <c r="B218" s="121" t="s">
        <v>885</v>
      </c>
      <c r="C218" s="122">
        <v>0</v>
      </c>
      <c r="D218" s="113" t="s">
        <v>147</v>
      </c>
      <c r="E218" s="123">
        <v>0</v>
      </c>
      <c r="F218" s="115" t="s">
        <v>147</v>
      </c>
      <c r="G218" s="122">
        <v>0</v>
      </c>
      <c r="H218" s="113" t="s">
        <v>147</v>
      </c>
      <c r="I218" s="123">
        <v>0</v>
      </c>
      <c r="J218" s="115" t="s">
        <v>147</v>
      </c>
      <c r="K218" s="122">
        <v>0</v>
      </c>
      <c r="L218" s="113" t="s">
        <v>147</v>
      </c>
      <c r="M218" s="123">
        <v>0</v>
      </c>
      <c r="N218" s="115" t="s">
        <v>147</v>
      </c>
      <c r="O218" s="122">
        <v>0</v>
      </c>
      <c r="P218" s="113" t="s">
        <v>147</v>
      </c>
      <c r="Q218" s="123">
        <v>0</v>
      </c>
      <c r="R218" s="115" t="s">
        <v>147</v>
      </c>
      <c r="S218" s="61"/>
      <c r="U218" s="116">
        <f t="shared" si="9"/>
        <v>1.25</v>
      </c>
      <c r="V218" s="117">
        <v>1.25</v>
      </c>
      <c r="W218" s="118">
        <v>0</v>
      </c>
      <c r="X218" s="116">
        <f t="shared" si="10"/>
        <v>30</v>
      </c>
      <c r="Y218" s="117">
        <v>22</v>
      </c>
      <c r="Z218" s="118">
        <v>8</v>
      </c>
      <c r="AA218" s="124">
        <v>1</v>
      </c>
      <c r="AB218" s="125">
        <v>1</v>
      </c>
      <c r="AC218" s="125">
        <v>0</v>
      </c>
      <c r="AD218" s="117">
        <v>1</v>
      </c>
      <c r="AE218" s="117">
        <v>0</v>
      </c>
      <c r="AF218" s="126" t="str">
        <f t="shared" si="8"/>
        <v>FDS226 - Sounder beacon, Red Light, Indicator Mode</v>
      </c>
    </row>
    <row r="219" spans="1:32" ht="13" hidden="1" outlineLevel="1" x14ac:dyDescent="0.25">
      <c r="A219" s="59"/>
      <c r="B219" s="121" t="s">
        <v>886</v>
      </c>
      <c r="C219" s="122">
        <v>0</v>
      </c>
      <c r="D219" s="113" t="s">
        <v>795</v>
      </c>
      <c r="E219" s="123">
        <v>0</v>
      </c>
      <c r="F219" s="115" t="s">
        <v>147</v>
      </c>
      <c r="G219" s="122">
        <v>0</v>
      </c>
      <c r="H219" s="113" t="s">
        <v>147</v>
      </c>
      <c r="I219" s="123">
        <v>0</v>
      </c>
      <c r="J219" s="115" t="s">
        <v>147</v>
      </c>
      <c r="K219" s="122">
        <v>0</v>
      </c>
      <c r="L219" s="113" t="s">
        <v>147</v>
      </c>
      <c r="M219" s="123">
        <v>0</v>
      </c>
      <c r="N219" s="115" t="s">
        <v>147</v>
      </c>
      <c r="O219" s="122">
        <v>0</v>
      </c>
      <c r="P219" s="113" t="s">
        <v>147</v>
      </c>
      <c r="Q219" s="123">
        <v>0</v>
      </c>
      <c r="R219" s="115" t="s">
        <v>147</v>
      </c>
      <c r="S219" s="61"/>
      <c r="U219" s="116">
        <f t="shared" si="9"/>
        <v>1.25</v>
      </c>
      <c r="V219" s="117">
        <v>1.25</v>
      </c>
      <c r="W219" s="118">
        <v>0</v>
      </c>
      <c r="X219" s="116">
        <f t="shared" si="10"/>
        <v>108</v>
      </c>
      <c r="Y219" s="117">
        <v>22</v>
      </c>
      <c r="Z219" s="118">
        <v>86</v>
      </c>
      <c r="AA219" s="124">
        <v>1</v>
      </c>
      <c r="AB219" s="125">
        <v>1</v>
      </c>
      <c r="AC219" s="125">
        <v>0</v>
      </c>
      <c r="AD219" s="117">
        <v>1</v>
      </c>
      <c r="AE219" s="117">
        <v>1</v>
      </c>
      <c r="AF219" s="126" t="str">
        <f t="shared" si="8"/>
        <v>FDS226 - Sounder beacon, White Light, High Intensity</v>
      </c>
    </row>
    <row r="220" spans="1:32" ht="13" hidden="1" outlineLevel="1" x14ac:dyDescent="0.25">
      <c r="A220" s="59"/>
      <c r="B220" s="121" t="s">
        <v>887</v>
      </c>
      <c r="C220" s="122">
        <v>0</v>
      </c>
      <c r="D220" s="113" t="s">
        <v>147</v>
      </c>
      <c r="E220" s="123">
        <v>0</v>
      </c>
      <c r="F220" s="115" t="s">
        <v>147</v>
      </c>
      <c r="G220" s="122">
        <v>0</v>
      </c>
      <c r="H220" s="113" t="s">
        <v>147</v>
      </c>
      <c r="I220" s="123">
        <v>0</v>
      </c>
      <c r="J220" s="115" t="s">
        <v>147</v>
      </c>
      <c r="K220" s="122">
        <v>0</v>
      </c>
      <c r="L220" s="113" t="s">
        <v>147</v>
      </c>
      <c r="M220" s="123">
        <v>0</v>
      </c>
      <c r="N220" s="115" t="s">
        <v>147</v>
      </c>
      <c r="O220" s="122">
        <v>0</v>
      </c>
      <c r="P220" s="113" t="s">
        <v>147</v>
      </c>
      <c r="Q220" s="123">
        <v>0</v>
      </c>
      <c r="R220" s="115" t="s">
        <v>147</v>
      </c>
      <c r="S220" s="61"/>
      <c r="U220" s="116">
        <f t="shared" si="9"/>
        <v>1.25</v>
      </c>
      <c r="V220" s="117">
        <v>1.25</v>
      </c>
      <c r="W220" s="118">
        <v>0</v>
      </c>
      <c r="X220" s="116">
        <f t="shared" si="10"/>
        <v>62</v>
      </c>
      <c r="Y220" s="117">
        <v>22</v>
      </c>
      <c r="Z220" s="118">
        <v>40</v>
      </c>
      <c r="AA220" s="124">
        <v>1</v>
      </c>
      <c r="AB220" s="125">
        <v>1</v>
      </c>
      <c r="AC220" s="125">
        <v>0</v>
      </c>
      <c r="AD220" s="117">
        <v>1</v>
      </c>
      <c r="AE220" s="117">
        <v>1</v>
      </c>
      <c r="AF220" s="126" t="str">
        <f t="shared" si="8"/>
        <v>FDS226 - Sounder beacon, White Light, Medium Intensity</v>
      </c>
    </row>
    <row r="221" spans="1:32" ht="13" hidden="1" outlineLevel="1" x14ac:dyDescent="0.25">
      <c r="A221" s="59"/>
      <c r="B221" s="121" t="s">
        <v>888</v>
      </c>
      <c r="C221" s="122">
        <v>0</v>
      </c>
      <c r="D221" s="113" t="s">
        <v>147</v>
      </c>
      <c r="E221" s="123">
        <v>0</v>
      </c>
      <c r="F221" s="115" t="s">
        <v>147</v>
      </c>
      <c r="G221" s="122">
        <v>0</v>
      </c>
      <c r="H221" s="113" t="s">
        <v>147</v>
      </c>
      <c r="I221" s="123">
        <v>0</v>
      </c>
      <c r="J221" s="115" t="s">
        <v>147</v>
      </c>
      <c r="K221" s="122">
        <v>0</v>
      </c>
      <c r="L221" s="113" t="s">
        <v>147</v>
      </c>
      <c r="M221" s="123">
        <v>0</v>
      </c>
      <c r="N221" s="115" t="s">
        <v>147</v>
      </c>
      <c r="O221" s="122">
        <v>0</v>
      </c>
      <c r="P221" s="113" t="s">
        <v>147</v>
      </c>
      <c r="Q221" s="123">
        <v>0</v>
      </c>
      <c r="R221" s="115" t="s">
        <v>147</v>
      </c>
      <c r="S221" s="61"/>
      <c r="U221" s="116">
        <f t="shared" si="9"/>
        <v>1.25</v>
      </c>
      <c r="V221" s="117">
        <v>1.25</v>
      </c>
      <c r="W221" s="118">
        <v>0</v>
      </c>
      <c r="X221" s="116">
        <f t="shared" si="10"/>
        <v>51</v>
      </c>
      <c r="Y221" s="117">
        <v>22</v>
      </c>
      <c r="Z221" s="118">
        <v>29</v>
      </c>
      <c r="AA221" s="124">
        <v>1</v>
      </c>
      <c r="AB221" s="125">
        <v>1</v>
      </c>
      <c r="AC221" s="125">
        <v>0</v>
      </c>
      <c r="AD221" s="117">
        <v>1</v>
      </c>
      <c r="AE221" s="117">
        <v>1</v>
      </c>
      <c r="AF221" s="126" t="str">
        <f t="shared" si="8"/>
        <v>FDS226 - Sounder beacon, White Light, Low Intensity</v>
      </c>
    </row>
    <row r="222" spans="1:32" ht="13" hidden="1" outlineLevel="1" x14ac:dyDescent="0.25">
      <c r="A222" s="59"/>
      <c r="B222" s="121" t="s">
        <v>889</v>
      </c>
      <c r="C222" s="122">
        <v>0</v>
      </c>
      <c r="D222" s="113" t="s">
        <v>147</v>
      </c>
      <c r="E222" s="123">
        <v>0</v>
      </c>
      <c r="F222" s="115" t="s">
        <v>147</v>
      </c>
      <c r="G222" s="122">
        <v>0</v>
      </c>
      <c r="H222" s="113" t="s">
        <v>147</v>
      </c>
      <c r="I222" s="123">
        <v>0</v>
      </c>
      <c r="J222" s="115" t="s">
        <v>147</v>
      </c>
      <c r="K222" s="122">
        <v>0</v>
      </c>
      <c r="L222" s="113" t="s">
        <v>147</v>
      </c>
      <c r="M222" s="123">
        <v>0</v>
      </c>
      <c r="N222" s="115" t="s">
        <v>147</v>
      </c>
      <c r="O222" s="122">
        <v>0</v>
      </c>
      <c r="P222" s="113" t="s">
        <v>147</v>
      </c>
      <c r="Q222" s="123">
        <v>0</v>
      </c>
      <c r="R222" s="115" t="s">
        <v>147</v>
      </c>
      <c r="S222" s="61"/>
      <c r="U222" s="116">
        <f t="shared" si="9"/>
        <v>1.25</v>
      </c>
      <c r="V222" s="117">
        <v>1.25</v>
      </c>
      <c r="W222" s="118">
        <v>0</v>
      </c>
      <c r="X222" s="116">
        <f t="shared" si="10"/>
        <v>30</v>
      </c>
      <c r="Y222" s="117">
        <v>22</v>
      </c>
      <c r="Z222" s="118">
        <v>8</v>
      </c>
      <c r="AA222" s="124">
        <v>1</v>
      </c>
      <c r="AB222" s="125">
        <v>1</v>
      </c>
      <c r="AC222" s="125">
        <v>0</v>
      </c>
      <c r="AD222" s="117">
        <v>1</v>
      </c>
      <c r="AE222" s="117">
        <v>0</v>
      </c>
      <c r="AF222" s="126" t="str">
        <f t="shared" si="8"/>
        <v>FDS226 - Sounder beacon, White Light, Indicator Mode</v>
      </c>
    </row>
    <row r="223" spans="1:32" ht="13" hidden="1" outlineLevel="1" x14ac:dyDescent="0.25">
      <c r="A223" s="59"/>
      <c r="B223" s="121" t="s">
        <v>890</v>
      </c>
      <c r="C223" s="122">
        <v>0</v>
      </c>
      <c r="D223" s="113" t="s">
        <v>147</v>
      </c>
      <c r="E223" s="123">
        <v>0</v>
      </c>
      <c r="F223" s="115" t="s">
        <v>147</v>
      </c>
      <c r="G223" s="122">
        <v>0</v>
      </c>
      <c r="H223" s="113" t="s">
        <v>147</v>
      </c>
      <c r="I223" s="123">
        <v>0</v>
      </c>
      <c r="J223" s="115" t="s">
        <v>147</v>
      </c>
      <c r="K223" s="122">
        <v>0</v>
      </c>
      <c r="L223" s="113" t="s">
        <v>147</v>
      </c>
      <c r="M223" s="123">
        <v>0</v>
      </c>
      <c r="N223" s="115" t="s">
        <v>147</v>
      </c>
      <c r="O223" s="122">
        <v>0</v>
      </c>
      <c r="P223" s="113" t="s">
        <v>147</v>
      </c>
      <c r="Q223" s="123">
        <v>0</v>
      </c>
      <c r="R223" s="115" t="s">
        <v>147</v>
      </c>
      <c r="S223" s="61"/>
      <c r="U223" s="116">
        <f t="shared" si="9"/>
        <v>1.25</v>
      </c>
      <c r="V223" s="117">
        <v>1.25</v>
      </c>
      <c r="W223" s="118">
        <v>0</v>
      </c>
      <c r="X223" s="116">
        <f t="shared" si="10"/>
        <v>116</v>
      </c>
      <c r="Y223" s="117">
        <v>23</v>
      </c>
      <c r="Z223" s="118">
        <v>93</v>
      </c>
      <c r="AA223" s="124">
        <v>1</v>
      </c>
      <c r="AB223" s="125">
        <v>1</v>
      </c>
      <c r="AC223" s="125">
        <v>0</v>
      </c>
      <c r="AD223" s="117">
        <v>1</v>
      </c>
      <c r="AE223" s="117">
        <v>1</v>
      </c>
      <c r="AF223" s="126" t="str">
        <f t="shared" si="8"/>
        <v>FDSB226 - Sounder beacon base, Red Light, High Intensity</v>
      </c>
    </row>
    <row r="224" spans="1:32" ht="13" hidden="1" outlineLevel="1" x14ac:dyDescent="0.25">
      <c r="A224" s="59"/>
      <c r="B224" s="121" t="s">
        <v>891</v>
      </c>
      <c r="C224" s="122">
        <v>0</v>
      </c>
      <c r="D224" s="113" t="s">
        <v>147</v>
      </c>
      <c r="E224" s="123">
        <v>0</v>
      </c>
      <c r="F224" s="115" t="s">
        <v>147</v>
      </c>
      <c r="G224" s="122">
        <v>0</v>
      </c>
      <c r="H224" s="113" t="s">
        <v>147</v>
      </c>
      <c r="I224" s="123">
        <v>0</v>
      </c>
      <c r="J224" s="115" t="s">
        <v>147</v>
      </c>
      <c r="K224" s="122">
        <v>0</v>
      </c>
      <c r="L224" s="113" t="s">
        <v>147</v>
      </c>
      <c r="M224" s="123">
        <v>0</v>
      </c>
      <c r="N224" s="115" t="s">
        <v>147</v>
      </c>
      <c r="O224" s="122">
        <v>0</v>
      </c>
      <c r="P224" s="113" t="s">
        <v>147</v>
      </c>
      <c r="Q224" s="123">
        <v>0</v>
      </c>
      <c r="R224" s="115" t="s">
        <v>147</v>
      </c>
      <c r="S224" s="61"/>
      <c r="U224" s="116">
        <f t="shared" si="9"/>
        <v>1.25</v>
      </c>
      <c r="V224" s="117">
        <v>1.25</v>
      </c>
      <c r="W224" s="118">
        <v>0</v>
      </c>
      <c r="X224" s="116">
        <f t="shared" si="10"/>
        <v>88</v>
      </c>
      <c r="Y224" s="117">
        <v>23</v>
      </c>
      <c r="Z224" s="118">
        <v>65</v>
      </c>
      <c r="AA224" s="124">
        <v>1</v>
      </c>
      <c r="AB224" s="125">
        <v>1</v>
      </c>
      <c r="AC224" s="125">
        <v>0</v>
      </c>
      <c r="AD224" s="117">
        <v>1</v>
      </c>
      <c r="AE224" s="117">
        <v>1</v>
      </c>
      <c r="AF224" s="126" t="str">
        <f t="shared" si="8"/>
        <v>FDSB226 - Sounder beacon base, Red Light, Medium Intensity</v>
      </c>
    </row>
    <row r="225" spans="1:32" ht="13" hidden="1" outlineLevel="1" x14ac:dyDescent="0.25">
      <c r="A225" s="59"/>
      <c r="B225" s="121" t="s">
        <v>892</v>
      </c>
      <c r="C225" s="122">
        <v>0</v>
      </c>
      <c r="D225" s="113" t="s">
        <v>795</v>
      </c>
      <c r="E225" s="123">
        <v>0</v>
      </c>
      <c r="F225" s="115" t="s">
        <v>147</v>
      </c>
      <c r="G225" s="122">
        <v>0</v>
      </c>
      <c r="H225" s="113" t="s">
        <v>147</v>
      </c>
      <c r="I225" s="123">
        <v>0</v>
      </c>
      <c r="J225" s="115" t="s">
        <v>147</v>
      </c>
      <c r="K225" s="122">
        <v>0</v>
      </c>
      <c r="L225" s="113" t="s">
        <v>147</v>
      </c>
      <c r="M225" s="123">
        <v>0</v>
      </c>
      <c r="N225" s="115" t="s">
        <v>147</v>
      </c>
      <c r="O225" s="122">
        <v>0</v>
      </c>
      <c r="P225" s="113" t="s">
        <v>147</v>
      </c>
      <c r="Q225" s="123">
        <v>0</v>
      </c>
      <c r="R225" s="115" t="s">
        <v>147</v>
      </c>
      <c r="S225" s="61"/>
      <c r="U225" s="116">
        <f t="shared" si="9"/>
        <v>1.25</v>
      </c>
      <c r="V225" s="117">
        <v>1.25</v>
      </c>
      <c r="W225" s="118">
        <v>0</v>
      </c>
      <c r="X225" s="116">
        <f t="shared" si="10"/>
        <v>60</v>
      </c>
      <c r="Y225" s="117">
        <v>23</v>
      </c>
      <c r="Z225" s="118">
        <v>37</v>
      </c>
      <c r="AA225" s="124">
        <v>1</v>
      </c>
      <c r="AB225" s="125">
        <v>1</v>
      </c>
      <c r="AC225" s="125">
        <v>0</v>
      </c>
      <c r="AD225" s="117">
        <v>1</v>
      </c>
      <c r="AE225" s="117">
        <v>1</v>
      </c>
      <c r="AF225" s="126" t="str">
        <f t="shared" si="8"/>
        <v>FDSB226 - Sounder beacon base, Red Light, Low Intensity</v>
      </c>
    </row>
    <row r="226" spans="1:32" ht="13" hidden="1" outlineLevel="1" x14ac:dyDescent="0.25">
      <c r="A226" s="59"/>
      <c r="B226" s="121" t="s">
        <v>893</v>
      </c>
      <c r="C226" s="122">
        <v>0</v>
      </c>
      <c r="D226" s="113" t="s">
        <v>795</v>
      </c>
      <c r="E226" s="123">
        <v>0</v>
      </c>
      <c r="F226" s="115" t="s">
        <v>147</v>
      </c>
      <c r="G226" s="122">
        <v>0</v>
      </c>
      <c r="H226" s="113" t="s">
        <v>147</v>
      </c>
      <c r="I226" s="123">
        <v>0</v>
      </c>
      <c r="J226" s="115" t="s">
        <v>147</v>
      </c>
      <c r="K226" s="122">
        <v>0</v>
      </c>
      <c r="L226" s="113" t="s">
        <v>147</v>
      </c>
      <c r="M226" s="123">
        <v>0</v>
      </c>
      <c r="N226" s="115" t="s">
        <v>147</v>
      </c>
      <c r="O226" s="122">
        <v>0</v>
      </c>
      <c r="P226" s="113" t="s">
        <v>147</v>
      </c>
      <c r="Q226" s="123">
        <v>0</v>
      </c>
      <c r="R226" s="115" t="s">
        <v>147</v>
      </c>
      <c r="S226" s="61"/>
      <c r="U226" s="116">
        <f t="shared" si="9"/>
        <v>1.25</v>
      </c>
      <c r="V226" s="117">
        <v>1.25</v>
      </c>
      <c r="W226" s="118">
        <v>0</v>
      </c>
      <c r="X226" s="116">
        <f t="shared" si="10"/>
        <v>31</v>
      </c>
      <c r="Y226" s="117">
        <v>23</v>
      </c>
      <c r="Z226" s="118">
        <v>8</v>
      </c>
      <c r="AA226" s="124">
        <v>1</v>
      </c>
      <c r="AB226" s="125">
        <v>1</v>
      </c>
      <c r="AC226" s="125">
        <v>0</v>
      </c>
      <c r="AD226" s="117">
        <v>1</v>
      </c>
      <c r="AE226" s="117">
        <v>0</v>
      </c>
      <c r="AF226" s="126" t="str">
        <f t="shared" si="8"/>
        <v>FDSB226 - Sounder beacon base, Red Light, Indicator Mode</v>
      </c>
    </row>
    <row r="227" spans="1:32" ht="13" hidden="1" outlineLevel="1" x14ac:dyDescent="0.25">
      <c r="A227" s="59"/>
      <c r="B227" s="121" t="s">
        <v>894</v>
      </c>
      <c r="C227" s="122">
        <v>0</v>
      </c>
      <c r="D227" s="113" t="s">
        <v>147</v>
      </c>
      <c r="E227" s="123">
        <v>0</v>
      </c>
      <c r="F227" s="115" t="s">
        <v>147</v>
      </c>
      <c r="G227" s="122">
        <v>0</v>
      </c>
      <c r="H227" s="113" t="s">
        <v>147</v>
      </c>
      <c r="I227" s="123">
        <v>0</v>
      </c>
      <c r="J227" s="115" t="s">
        <v>147</v>
      </c>
      <c r="K227" s="122">
        <v>0</v>
      </c>
      <c r="L227" s="113" t="s">
        <v>147</v>
      </c>
      <c r="M227" s="123">
        <v>0</v>
      </c>
      <c r="N227" s="115" t="s">
        <v>147</v>
      </c>
      <c r="O227" s="122">
        <v>0</v>
      </c>
      <c r="P227" s="113" t="s">
        <v>147</v>
      </c>
      <c r="Q227" s="123">
        <v>0</v>
      </c>
      <c r="R227" s="115" t="s">
        <v>147</v>
      </c>
      <c r="S227" s="61"/>
      <c r="U227" s="116">
        <f t="shared" si="9"/>
        <v>1.25</v>
      </c>
      <c r="V227" s="117">
        <v>1.25</v>
      </c>
      <c r="W227" s="118">
        <v>0</v>
      </c>
      <c r="X227" s="116">
        <f t="shared" si="10"/>
        <v>132</v>
      </c>
      <c r="Y227" s="117">
        <v>23</v>
      </c>
      <c r="Z227" s="118">
        <v>109</v>
      </c>
      <c r="AA227" s="124">
        <v>1</v>
      </c>
      <c r="AB227" s="125">
        <v>1</v>
      </c>
      <c r="AC227" s="125">
        <v>0</v>
      </c>
      <c r="AD227" s="117">
        <v>1</v>
      </c>
      <c r="AE227" s="117">
        <v>1</v>
      </c>
      <c r="AF227" s="126" t="str">
        <f t="shared" si="8"/>
        <v>FDSB226 - Sounder beacon base, White Light, High Intensity</v>
      </c>
    </row>
    <row r="228" spans="1:32" ht="13" hidden="1" outlineLevel="1" x14ac:dyDescent="0.25">
      <c r="A228" s="59"/>
      <c r="B228" s="121" t="s">
        <v>895</v>
      </c>
      <c r="C228" s="122">
        <v>0</v>
      </c>
      <c r="D228" s="113" t="s">
        <v>147</v>
      </c>
      <c r="E228" s="123">
        <v>0</v>
      </c>
      <c r="F228" s="115" t="s">
        <v>147</v>
      </c>
      <c r="G228" s="122">
        <v>0</v>
      </c>
      <c r="H228" s="113" t="s">
        <v>147</v>
      </c>
      <c r="I228" s="123">
        <v>0</v>
      </c>
      <c r="J228" s="115" t="s">
        <v>147</v>
      </c>
      <c r="K228" s="122">
        <v>0</v>
      </c>
      <c r="L228" s="113" t="s">
        <v>147</v>
      </c>
      <c r="M228" s="123">
        <v>0</v>
      </c>
      <c r="N228" s="115" t="s">
        <v>147</v>
      </c>
      <c r="O228" s="122">
        <v>0</v>
      </c>
      <c r="P228" s="113" t="s">
        <v>147</v>
      </c>
      <c r="Q228" s="123">
        <v>0</v>
      </c>
      <c r="R228" s="115" t="s">
        <v>147</v>
      </c>
      <c r="S228" s="61"/>
      <c r="U228" s="116">
        <f t="shared" si="9"/>
        <v>1.25</v>
      </c>
      <c r="V228" s="117">
        <v>1.25</v>
      </c>
      <c r="W228" s="118">
        <v>0</v>
      </c>
      <c r="X228" s="116">
        <f t="shared" si="10"/>
        <v>82</v>
      </c>
      <c r="Y228" s="117">
        <v>23</v>
      </c>
      <c r="Z228" s="118">
        <v>59</v>
      </c>
      <c r="AA228" s="124">
        <v>1</v>
      </c>
      <c r="AB228" s="125">
        <v>1</v>
      </c>
      <c r="AC228" s="125">
        <v>0</v>
      </c>
      <c r="AD228" s="117">
        <v>1</v>
      </c>
      <c r="AE228" s="117">
        <v>1</v>
      </c>
      <c r="AF228" s="126" t="str">
        <f t="shared" si="8"/>
        <v>FDSB226 - Sounder beacon base, White Light, Medium Intensity</v>
      </c>
    </row>
    <row r="229" spans="1:32" ht="13" hidden="1" outlineLevel="1" x14ac:dyDescent="0.25">
      <c r="A229" s="59"/>
      <c r="B229" s="121" t="s">
        <v>896</v>
      </c>
      <c r="C229" s="122">
        <v>0</v>
      </c>
      <c r="D229" s="113" t="s">
        <v>147</v>
      </c>
      <c r="E229" s="123">
        <v>0</v>
      </c>
      <c r="F229" s="115" t="s">
        <v>147</v>
      </c>
      <c r="G229" s="122">
        <v>0</v>
      </c>
      <c r="H229" s="113" t="s">
        <v>147</v>
      </c>
      <c r="I229" s="123">
        <v>0</v>
      </c>
      <c r="J229" s="115" t="s">
        <v>147</v>
      </c>
      <c r="K229" s="122">
        <v>0</v>
      </c>
      <c r="L229" s="113" t="s">
        <v>147</v>
      </c>
      <c r="M229" s="123">
        <v>0</v>
      </c>
      <c r="N229" s="115" t="s">
        <v>147</v>
      </c>
      <c r="O229" s="122">
        <v>0</v>
      </c>
      <c r="P229" s="113" t="s">
        <v>147</v>
      </c>
      <c r="Q229" s="123">
        <v>0</v>
      </c>
      <c r="R229" s="115" t="s">
        <v>147</v>
      </c>
      <c r="S229" s="61"/>
      <c r="U229" s="116">
        <f t="shared" si="9"/>
        <v>1.25</v>
      </c>
      <c r="V229" s="117">
        <v>1.25</v>
      </c>
      <c r="W229" s="118">
        <v>0</v>
      </c>
      <c r="X229" s="116">
        <f t="shared" si="10"/>
        <v>49</v>
      </c>
      <c r="Y229" s="117">
        <v>23</v>
      </c>
      <c r="Z229" s="118">
        <v>26</v>
      </c>
      <c r="AA229" s="124">
        <v>1</v>
      </c>
      <c r="AB229" s="125">
        <v>1</v>
      </c>
      <c r="AC229" s="125">
        <v>0</v>
      </c>
      <c r="AD229" s="117">
        <v>1</v>
      </c>
      <c r="AE229" s="117">
        <v>1</v>
      </c>
      <c r="AF229" s="126" t="str">
        <f t="shared" si="8"/>
        <v>FDSB226 - Sounder beacon base, White Light, Low Intensity</v>
      </c>
    </row>
    <row r="230" spans="1:32" ht="13" hidden="1" outlineLevel="1" x14ac:dyDescent="0.25">
      <c r="A230" s="59"/>
      <c r="B230" s="121" t="s">
        <v>897</v>
      </c>
      <c r="C230" s="122">
        <v>0</v>
      </c>
      <c r="D230" s="113" t="s">
        <v>795</v>
      </c>
      <c r="E230" s="123">
        <v>0</v>
      </c>
      <c r="F230" s="115" t="s">
        <v>147</v>
      </c>
      <c r="G230" s="122">
        <v>0</v>
      </c>
      <c r="H230" s="113" t="s">
        <v>147</v>
      </c>
      <c r="I230" s="123">
        <v>0</v>
      </c>
      <c r="J230" s="115" t="s">
        <v>147</v>
      </c>
      <c r="K230" s="122">
        <v>0</v>
      </c>
      <c r="L230" s="113" t="s">
        <v>147</v>
      </c>
      <c r="M230" s="123">
        <v>0</v>
      </c>
      <c r="N230" s="115" t="s">
        <v>147</v>
      </c>
      <c r="O230" s="122">
        <v>0</v>
      </c>
      <c r="P230" s="113" t="s">
        <v>147</v>
      </c>
      <c r="Q230" s="123">
        <v>0</v>
      </c>
      <c r="R230" s="115" t="s">
        <v>147</v>
      </c>
      <c r="S230" s="61"/>
      <c r="U230" s="116">
        <f t="shared" si="9"/>
        <v>1.25</v>
      </c>
      <c r="V230" s="117">
        <v>1.25</v>
      </c>
      <c r="W230" s="118">
        <v>0</v>
      </c>
      <c r="X230" s="116">
        <f t="shared" si="10"/>
        <v>31</v>
      </c>
      <c r="Y230" s="117">
        <v>23</v>
      </c>
      <c r="Z230" s="118">
        <v>8</v>
      </c>
      <c r="AA230" s="124">
        <v>1</v>
      </c>
      <c r="AB230" s="125">
        <v>1</v>
      </c>
      <c r="AC230" s="125">
        <v>0</v>
      </c>
      <c r="AD230" s="117">
        <v>1</v>
      </c>
      <c r="AE230" s="117">
        <v>0</v>
      </c>
      <c r="AF230" s="126" t="str">
        <f t="shared" si="8"/>
        <v>FDSB226 - Sounder beacon base, White Light, Indicator Mode</v>
      </c>
    </row>
    <row r="231" spans="1:32" ht="13" hidden="1" outlineLevel="1" x14ac:dyDescent="0.25">
      <c r="A231" s="59"/>
      <c r="B231" s="121" t="s">
        <v>898</v>
      </c>
      <c r="C231" s="122">
        <v>0</v>
      </c>
      <c r="D231" s="113" t="s">
        <v>795</v>
      </c>
      <c r="E231" s="123">
        <v>0</v>
      </c>
      <c r="F231" s="115" t="s">
        <v>147</v>
      </c>
      <c r="G231" s="122">
        <v>0</v>
      </c>
      <c r="H231" s="113" t="s">
        <v>147</v>
      </c>
      <c r="I231" s="123">
        <v>0</v>
      </c>
      <c r="J231" s="115" t="s">
        <v>147</v>
      </c>
      <c r="K231" s="122">
        <v>0</v>
      </c>
      <c r="L231" s="113" t="s">
        <v>147</v>
      </c>
      <c r="M231" s="123">
        <v>0</v>
      </c>
      <c r="N231" s="115" t="s">
        <v>147</v>
      </c>
      <c r="O231" s="122">
        <v>0</v>
      </c>
      <c r="P231" s="113" t="s">
        <v>147</v>
      </c>
      <c r="Q231" s="123">
        <v>0</v>
      </c>
      <c r="R231" s="115" t="s">
        <v>147</v>
      </c>
      <c r="S231" s="61"/>
      <c r="U231" s="116">
        <f t="shared" si="9"/>
        <v>1</v>
      </c>
      <c r="V231" s="117">
        <v>1</v>
      </c>
      <c r="W231" s="118">
        <v>0</v>
      </c>
      <c r="X231" s="116">
        <f t="shared" si="10"/>
        <v>40</v>
      </c>
      <c r="Y231" s="117">
        <v>40</v>
      </c>
      <c r="Z231" s="118">
        <v>0</v>
      </c>
      <c r="AA231" s="124">
        <v>1</v>
      </c>
      <c r="AB231" s="125">
        <v>1</v>
      </c>
      <c r="AC231" s="125">
        <v>0</v>
      </c>
      <c r="AD231" s="117">
        <v>0</v>
      </c>
      <c r="AE231" s="117">
        <v>0</v>
      </c>
      <c r="AF231" s="126" t="str">
        <f t="shared" si="8"/>
        <v>DBS728 - Sounder beacon interbase, Sound and Light High</v>
      </c>
    </row>
    <row r="232" spans="1:32" ht="13" hidden="1" outlineLevel="1" x14ac:dyDescent="0.25">
      <c r="A232" s="59"/>
      <c r="B232" s="121" t="s">
        <v>899</v>
      </c>
      <c r="C232" s="122">
        <v>0</v>
      </c>
      <c r="D232" s="113" t="s">
        <v>147</v>
      </c>
      <c r="E232" s="123">
        <v>0</v>
      </c>
      <c r="F232" s="115" t="s">
        <v>147</v>
      </c>
      <c r="G232" s="122">
        <v>0</v>
      </c>
      <c r="H232" s="113" t="s">
        <v>147</v>
      </c>
      <c r="I232" s="123">
        <v>0</v>
      </c>
      <c r="J232" s="115" t="s">
        <v>147</v>
      </c>
      <c r="K232" s="122">
        <v>0</v>
      </c>
      <c r="L232" s="113" t="s">
        <v>147</v>
      </c>
      <c r="M232" s="123">
        <v>0</v>
      </c>
      <c r="N232" s="115" t="s">
        <v>147</v>
      </c>
      <c r="O232" s="122">
        <v>0</v>
      </c>
      <c r="P232" s="113" t="s">
        <v>147</v>
      </c>
      <c r="Q232" s="123">
        <v>0</v>
      </c>
      <c r="R232" s="115" t="s">
        <v>147</v>
      </c>
      <c r="S232" s="61"/>
      <c r="U232" s="116">
        <f t="shared" si="9"/>
        <v>1</v>
      </c>
      <c r="V232" s="117">
        <v>1</v>
      </c>
      <c r="W232" s="118">
        <v>0</v>
      </c>
      <c r="X232" s="116">
        <f t="shared" si="10"/>
        <v>41</v>
      </c>
      <c r="Y232" s="117">
        <v>41</v>
      </c>
      <c r="Z232" s="118">
        <v>0</v>
      </c>
      <c r="AA232" s="124">
        <v>1</v>
      </c>
      <c r="AB232" s="125">
        <v>1</v>
      </c>
      <c r="AC232" s="125">
        <v>0</v>
      </c>
      <c r="AD232" s="117">
        <v>0</v>
      </c>
      <c r="AE232" s="117">
        <v>0</v>
      </c>
      <c r="AF232" s="126" t="str">
        <f t="shared" si="8"/>
        <v>DBS729 - Sounder beacon interbase, Sound and Light High</v>
      </c>
    </row>
    <row r="233" spans="1:32" ht="13" hidden="1" outlineLevel="1" x14ac:dyDescent="0.25">
      <c r="A233" s="59"/>
      <c r="B233" s="121" t="s">
        <v>900</v>
      </c>
      <c r="C233" s="122">
        <v>0</v>
      </c>
      <c r="D233" s="113" t="s">
        <v>147</v>
      </c>
      <c r="E233" s="123">
        <v>0</v>
      </c>
      <c r="F233" s="115" t="s">
        <v>147</v>
      </c>
      <c r="G233" s="122">
        <v>0</v>
      </c>
      <c r="H233" s="113" t="s">
        <v>147</v>
      </c>
      <c r="I233" s="123">
        <v>0</v>
      </c>
      <c r="J233" s="115" t="s">
        <v>147</v>
      </c>
      <c r="K233" s="122">
        <v>0</v>
      </c>
      <c r="L233" s="113" t="s">
        <v>147</v>
      </c>
      <c r="M233" s="123">
        <v>0</v>
      </c>
      <c r="N233" s="115" t="s">
        <v>147</v>
      </c>
      <c r="O233" s="122">
        <v>0</v>
      </c>
      <c r="P233" s="113" t="s">
        <v>147</v>
      </c>
      <c r="Q233" s="123">
        <v>0</v>
      </c>
      <c r="R233" s="115" t="s">
        <v>147</v>
      </c>
      <c r="S233" s="61"/>
      <c r="U233" s="116">
        <f t="shared" si="9"/>
        <v>1.25</v>
      </c>
      <c r="V233" s="117">
        <v>1.25</v>
      </c>
      <c r="W233" s="118">
        <v>0</v>
      </c>
      <c r="X233" s="116">
        <f t="shared" si="10"/>
        <v>80</v>
      </c>
      <c r="Y233" s="117">
        <v>22</v>
      </c>
      <c r="Z233" s="118">
        <v>58</v>
      </c>
      <c r="AA233" s="124">
        <v>1</v>
      </c>
      <c r="AB233" s="125">
        <v>1</v>
      </c>
      <c r="AC233" s="125">
        <v>0</v>
      </c>
      <c r="AD233" s="117">
        <v>1</v>
      </c>
      <c r="AE233" s="117">
        <v>1</v>
      </c>
      <c r="AF233" s="126" t="str">
        <f t="shared" si="8"/>
        <v>FDS366-RR Sounder used with beacon functionality, Red Light, Medium Intensity</v>
      </c>
    </row>
    <row r="234" spans="1:32" ht="13" hidden="1" outlineLevel="1" x14ac:dyDescent="0.25">
      <c r="A234" s="59"/>
      <c r="B234" s="121" t="s">
        <v>901</v>
      </c>
      <c r="C234" s="122">
        <v>0</v>
      </c>
      <c r="D234" s="113" t="s">
        <v>795</v>
      </c>
      <c r="E234" s="123">
        <v>0</v>
      </c>
      <c r="F234" s="115" t="s">
        <v>147</v>
      </c>
      <c r="G234" s="122">
        <v>0</v>
      </c>
      <c r="H234" s="113" t="s">
        <v>147</v>
      </c>
      <c r="I234" s="123">
        <v>0</v>
      </c>
      <c r="J234" s="115" t="s">
        <v>147</v>
      </c>
      <c r="K234" s="122">
        <v>0</v>
      </c>
      <c r="L234" s="113" t="s">
        <v>147</v>
      </c>
      <c r="M234" s="123">
        <v>0</v>
      </c>
      <c r="N234" s="115" t="s">
        <v>147</v>
      </c>
      <c r="O234" s="122">
        <v>0</v>
      </c>
      <c r="P234" s="113" t="s">
        <v>147</v>
      </c>
      <c r="Q234" s="123">
        <v>0</v>
      </c>
      <c r="R234" s="115" t="s">
        <v>147</v>
      </c>
      <c r="S234" s="61"/>
      <c r="U234" s="116">
        <f t="shared" si="9"/>
        <v>1.25</v>
      </c>
      <c r="V234" s="117">
        <v>1.25</v>
      </c>
      <c r="W234" s="118">
        <v>0</v>
      </c>
      <c r="X234" s="116">
        <f t="shared" si="10"/>
        <v>30</v>
      </c>
      <c r="Y234" s="117">
        <v>22</v>
      </c>
      <c r="Z234" s="118">
        <v>8</v>
      </c>
      <c r="AA234" s="124">
        <v>1</v>
      </c>
      <c r="AB234" s="125">
        <v>1</v>
      </c>
      <c r="AC234" s="125">
        <v>0</v>
      </c>
      <c r="AD234" s="117">
        <v>1</v>
      </c>
      <c r="AE234" s="117">
        <v>0</v>
      </c>
      <c r="AF234" s="126" t="str">
        <f t="shared" si="8"/>
        <v>FDS366-RR Sounder used with beacon functionality, Red Light Indicator Mode</v>
      </c>
    </row>
    <row r="235" spans="1:32" ht="13" hidden="1" outlineLevel="1" x14ac:dyDescent="0.25">
      <c r="A235" s="59"/>
      <c r="B235" s="121" t="s">
        <v>902</v>
      </c>
      <c r="C235" s="122">
        <v>0</v>
      </c>
      <c r="D235" s="113" t="s">
        <v>795</v>
      </c>
      <c r="E235" s="123">
        <v>0</v>
      </c>
      <c r="F235" s="115" t="s">
        <v>147</v>
      </c>
      <c r="G235" s="122">
        <v>0</v>
      </c>
      <c r="H235" s="113" t="s">
        <v>147</v>
      </c>
      <c r="I235" s="123">
        <v>0</v>
      </c>
      <c r="J235" s="115" t="s">
        <v>147</v>
      </c>
      <c r="K235" s="122">
        <v>0</v>
      </c>
      <c r="L235" s="113" t="s">
        <v>147</v>
      </c>
      <c r="M235" s="123">
        <v>0</v>
      </c>
      <c r="N235" s="115" t="s">
        <v>147</v>
      </c>
      <c r="O235" s="122">
        <v>0</v>
      </c>
      <c r="P235" s="113" t="s">
        <v>147</v>
      </c>
      <c r="Q235" s="123">
        <v>0</v>
      </c>
      <c r="R235" s="115" t="s">
        <v>147</v>
      </c>
      <c r="S235" s="61"/>
      <c r="U235" s="116">
        <f t="shared" si="9"/>
        <v>1.25</v>
      </c>
      <c r="V235" s="117">
        <v>1.25</v>
      </c>
      <c r="W235" s="118">
        <v>0</v>
      </c>
      <c r="X235" s="116">
        <f t="shared" si="10"/>
        <v>62</v>
      </c>
      <c r="Y235" s="117">
        <v>22</v>
      </c>
      <c r="Z235" s="118">
        <v>40</v>
      </c>
      <c r="AA235" s="124">
        <v>1</v>
      </c>
      <c r="AB235" s="125">
        <v>1</v>
      </c>
      <c r="AC235" s="125">
        <v>0</v>
      </c>
      <c r="AD235" s="117">
        <v>1</v>
      </c>
      <c r="AE235" s="117">
        <v>1</v>
      </c>
      <c r="AF235" s="126" t="str">
        <f t="shared" si="8"/>
        <v>FDS366-RW Sounder used with beacon functionality, White Light, Medium Intensity</v>
      </c>
    </row>
    <row r="236" spans="1:32" ht="13" hidden="1" outlineLevel="1" x14ac:dyDescent="0.25">
      <c r="A236" s="59"/>
      <c r="B236" s="121" t="s">
        <v>903</v>
      </c>
      <c r="C236" s="122">
        <v>0</v>
      </c>
      <c r="D236" s="113" t="s">
        <v>147</v>
      </c>
      <c r="E236" s="123">
        <v>0</v>
      </c>
      <c r="F236" s="115" t="s">
        <v>147</v>
      </c>
      <c r="G236" s="122">
        <v>0</v>
      </c>
      <c r="H236" s="113" t="s">
        <v>147</v>
      </c>
      <c r="I236" s="123">
        <v>0</v>
      </c>
      <c r="J236" s="115" t="s">
        <v>147</v>
      </c>
      <c r="K236" s="122">
        <v>0</v>
      </c>
      <c r="L236" s="113" t="s">
        <v>147</v>
      </c>
      <c r="M236" s="123">
        <v>0</v>
      </c>
      <c r="N236" s="115" t="s">
        <v>147</v>
      </c>
      <c r="O236" s="122">
        <v>0</v>
      </c>
      <c r="P236" s="113" t="s">
        <v>147</v>
      </c>
      <c r="Q236" s="123">
        <v>0</v>
      </c>
      <c r="R236" s="115" t="s">
        <v>147</v>
      </c>
      <c r="S236" s="61"/>
      <c r="U236" s="116">
        <f t="shared" si="9"/>
        <v>1.25</v>
      </c>
      <c r="V236" s="117">
        <v>1.25</v>
      </c>
      <c r="W236" s="118">
        <v>0</v>
      </c>
      <c r="X236" s="116">
        <f t="shared" si="10"/>
        <v>30</v>
      </c>
      <c r="Y236" s="117">
        <v>22</v>
      </c>
      <c r="Z236" s="118">
        <v>8</v>
      </c>
      <c r="AA236" s="124">
        <v>1</v>
      </c>
      <c r="AB236" s="125">
        <v>1</v>
      </c>
      <c r="AC236" s="125">
        <v>0</v>
      </c>
      <c r="AD236" s="117">
        <v>1</v>
      </c>
      <c r="AE236" s="117">
        <v>0</v>
      </c>
      <c r="AF236" s="126" t="str">
        <f t="shared" si="8"/>
        <v>FDS366-RW Sounder used with beacon functionality, White Light Indicator Mode</v>
      </c>
    </row>
    <row r="237" spans="1:32" ht="13" hidden="1" outlineLevel="1" x14ac:dyDescent="0.25">
      <c r="A237" s="59"/>
      <c r="B237" s="121" t="s">
        <v>904</v>
      </c>
      <c r="C237" s="122">
        <v>0</v>
      </c>
      <c r="D237" s="113" t="s">
        <v>147</v>
      </c>
      <c r="E237" s="123">
        <v>0</v>
      </c>
      <c r="F237" s="115" t="s">
        <v>147</v>
      </c>
      <c r="G237" s="122">
        <v>0</v>
      </c>
      <c r="H237" s="113" t="s">
        <v>147</v>
      </c>
      <c r="I237" s="123">
        <v>0</v>
      </c>
      <c r="J237" s="115" t="s">
        <v>147</v>
      </c>
      <c r="K237" s="122">
        <v>0</v>
      </c>
      <c r="L237" s="113" t="s">
        <v>147</v>
      </c>
      <c r="M237" s="123">
        <v>0</v>
      </c>
      <c r="N237" s="115" t="s">
        <v>147</v>
      </c>
      <c r="O237" s="122">
        <v>0</v>
      </c>
      <c r="P237" s="113" t="s">
        <v>147</v>
      </c>
      <c r="Q237" s="123">
        <v>0</v>
      </c>
      <c r="R237" s="115" t="s">
        <v>147</v>
      </c>
      <c r="S237" s="61"/>
      <c r="U237" s="116">
        <f t="shared" si="9"/>
        <v>1.25</v>
      </c>
      <c r="V237" s="117">
        <v>1.25</v>
      </c>
      <c r="W237" s="118">
        <v>0</v>
      </c>
      <c r="X237" s="116">
        <f t="shared" si="10"/>
        <v>88</v>
      </c>
      <c r="Y237" s="117">
        <v>23</v>
      </c>
      <c r="Z237" s="118">
        <v>65</v>
      </c>
      <c r="AA237" s="124">
        <v>1</v>
      </c>
      <c r="AB237" s="125">
        <v>1</v>
      </c>
      <c r="AC237" s="125">
        <v>0</v>
      </c>
      <c r="AD237" s="117">
        <v>1</v>
      </c>
      <c r="AE237" s="117">
        <v>1</v>
      </c>
      <c r="AF237" s="126" t="str">
        <f t="shared" si="8"/>
        <v>FDS366-WR Sounder used with beacon functionality, Red Light, Medium Intensity</v>
      </c>
    </row>
    <row r="238" spans="1:32" ht="13" hidden="1" outlineLevel="1" x14ac:dyDescent="0.25">
      <c r="A238" s="59"/>
      <c r="B238" s="121" t="s">
        <v>905</v>
      </c>
      <c r="C238" s="122">
        <v>0</v>
      </c>
      <c r="D238" s="113" t="s">
        <v>795</v>
      </c>
      <c r="E238" s="123">
        <v>0</v>
      </c>
      <c r="F238" s="115" t="s">
        <v>147</v>
      </c>
      <c r="G238" s="122">
        <v>0</v>
      </c>
      <c r="H238" s="113" t="s">
        <v>147</v>
      </c>
      <c r="I238" s="123">
        <v>0</v>
      </c>
      <c r="J238" s="115" t="s">
        <v>147</v>
      </c>
      <c r="K238" s="122">
        <v>0</v>
      </c>
      <c r="L238" s="113" t="s">
        <v>147</v>
      </c>
      <c r="M238" s="123">
        <v>0</v>
      </c>
      <c r="N238" s="115" t="s">
        <v>147</v>
      </c>
      <c r="O238" s="122">
        <v>0</v>
      </c>
      <c r="P238" s="113" t="s">
        <v>147</v>
      </c>
      <c r="Q238" s="123">
        <v>0</v>
      </c>
      <c r="R238" s="115" t="s">
        <v>147</v>
      </c>
      <c r="S238" s="61"/>
      <c r="U238" s="116">
        <f t="shared" si="9"/>
        <v>1.25</v>
      </c>
      <c r="V238" s="117">
        <v>1.25</v>
      </c>
      <c r="W238" s="118">
        <v>0</v>
      </c>
      <c r="X238" s="116">
        <f t="shared" si="10"/>
        <v>31</v>
      </c>
      <c r="Y238" s="117">
        <v>23</v>
      </c>
      <c r="Z238" s="118">
        <v>8</v>
      </c>
      <c r="AA238" s="124">
        <v>1</v>
      </c>
      <c r="AB238" s="125">
        <v>1</v>
      </c>
      <c r="AC238" s="125">
        <v>0</v>
      </c>
      <c r="AD238" s="117">
        <v>1</v>
      </c>
      <c r="AE238" s="117">
        <v>0</v>
      </c>
      <c r="AF238" s="126" t="str">
        <f t="shared" si="8"/>
        <v>FDS366-WR Sounder used with beacon functionality, Red Light Indicator Mode</v>
      </c>
    </row>
    <row r="239" spans="1:32" ht="13" hidden="1" outlineLevel="1" x14ac:dyDescent="0.25">
      <c r="A239" s="59"/>
      <c r="B239" s="121" t="s">
        <v>906</v>
      </c>
      <c r="C239" s="122">
        <v>0</v>
      </c>
      <c r="D239" s="113" t="s">
        <v>147</v>
      </c>
      <c r="E239" s="123">
        <v>0</v>
      </c>
      <c r="F239" s="115" t="s">
        <v>147</v>
      </c>
      <c r="G239" s="122">
        <v>0</v>
      </c>
      <c r="H239" s="113" t="s">
        <v>147</v>
      </c>
      <c r="I239" s="123">
        <v>0</v>
      </c>
      <c r="J239" s="115" t="s">
        <v>147</v>
      </c>
      <c r="K239" s="122">
        <v>0</v>
      </c>
      <c r="L239" s="113" t="s">
        <v>147</v>
      </c>
      <c r="M239" s="123">
        <v>0</v>
      </c>
      <c r="N239" s="115" t="s">
        <v>147</v>
      </c>
      <c r="O239" s="122">
        <v>0</v>
      </c>
      <c r="P239" s="113" t="s">
        <v>147</v>
      </c>
      <c r="Q239" s="123">
        <v>0</v>
      </c>
      <c r="R239" s="115" t="s">
        <v>147</v>
      </c>
      <c r="S239" s="61"/>
      <c r="U239" s="116">
        <f t="shared" si="9"/>
        <v>1.25</v>
      </c>
      <c r="V239" s="117">
        <v>1.25</v>
      </c>
      <c r="W239" s="118">
        <v>0</v>
      </c>
      <c r="X239" s="116">
        <f t="shared" si="10"/>
        <v>82</v>
      </c>
      <c r="Y239" s="117">
        <v>23</v>
      </c>
      <c r="Z239" s="118">
        <v>59</v>
      </c>
      <c r="AA239" s="124">
        <v>1</v>
      </c>
      <c r="AB239" s="125">
        <v>1</v>
      </c>
      <c r="AC239" s="125">
        <v>0</v>
      </c>
      <c r="AD239" s="117">
        <v>1</v>
      </c>
      <c r="AE239" s="117">
        <v>1</v>
      </c>
      <c r="AF239" s="126" t="str">
        <f t="shared" si="8"/>
        <v>FDS366-WW Sounder used with beacon functionality, White Light, Medium Intensity</v>
      </c>
    </row>
    <row r="240" spans="1:32" ht="13" hidden="1" outlineLevel="1" x14ac:dyDescent="0.25">
      <c r="A240" s="59"/>
      <c r="B240" s="121" t="s">
        <v>907</v>
      </c>
      <c r="C240" s="122">
        <v>0</v>
      </c>
      <c r="D240" s="115" t="s">
        <v>147</v>
      </c>
      <c r="E240" s="122">
        <v>0</v>
      </c>
      <c r="F240" s="138" t="s">
        <v>147</v>
      </c>
      <c r="G240" s="122">
        <v>0</v>
      </c>
      <c r="H240" s="138" t="s">
        <v>147</v>
      </c>
      <c r="I240" s="122">
        <v>0</v>
      </c>
      <c r="J240" s="138" t="s">
        <v>147</v>
      </c>
      <c r="K240" s="122">
        <v>0</v>
      </c>
      <c r="L240" s="138" t="s">
        <v>147</v>
      </c>
      <c r="M240" s="122">
        <v>0</v>
      </c>
      <c r="N240" s="138" t="s">
        <v>147</v>
      </c>
      <c r="O240" s="122">
        <v>0</v>
      </c>
      <c r="P240" s="138" t="s">
        <v>147</v>
      </c>
      <c r="Q240" s="122">
        <v>0</v>
      </c>
      <c r="R240" s="138" t="s">
        <v>147</v>
      </c>
      <c r="S240" s="61"/>
      <c r="U240" s="116">
        <f t="shared" si="9"/>
        <v>1.25</v>
      </c>
      <c r="V240" s="117">
        <v>1.25</v>
      </c>
      <c r="W240" s="118">
        <v>0</v>
      </c>
      <c r="X240" s="116">
        <f t="shared" si="10"/>
        <v>31</v>
      </c>
      <c r="Y240" s="117">
        <v>23</v>
      </c>
      <c r="Z240" s="118">
        <v>8</v>
      </c>
      <c r="AA240" s="124">
        <v>1</v>
      </c>
      <c r="AB240" s="125">
        <v>1</v>
      </c>
      <c r="AC240" s="125">
        <v>0</v>
      </c>
      <c r="AD240" s="117">
        <v>1</v>
      </c>
      <c r="AE240" s="117">
        <v>0</v>
      </c>
      <c r="AF240" s="126" t="str">
        <f t="shared" si="8"/>
        <v>FDS366-WW Sounder used with beacon functionality, White Light Indicator Mode</v>
      </c>
    </row>
    <row r="241" spans="1:32" hidden="1" x14ac:dyDescent="0.25">
      <c r="A241" s="59"/>
      <c r="B241" s="121"/>
      <c r="C241" s="122"/>
      <c r="D241" s="115"/>
      <c r="E241" s="122"/>
      <c r="F241" s="138"/>
      <c r="G241" s="122"/>
      <c r="H241" s="138"/>
      <c r="I241" s="122"/>
      <c r="J241" s="138"/>
      <c r="K241" s="122"/>
      <c r="L241" s="138"/>
      <c r="M241" s="122"/>
      <c r="N241" s="138"/>
      <c r="O241" s="122"/>
      <c r="P241" s="138"/>
      <c r="Q241" s="122"/>
      <c r="R241" s="138"/>
      <c r="S241" s="61"/>
      <c r="U241" s="143"/>
      <c r="V241" s="117"/>
      <c r="W241" s="118"/>
      <c r="X241" s="143"/>
      <c r="Y241" s="117"/>
      <c r="Z241" s="118"/>
      <c r="AA241" s="124"/>
      <c r="AB241" s="125"/>
      <c r="AC241" s="125"/>
      <c r="AD241" s="117"/>
      <c r="AE241" s="117"/>
      <c r="AF241" s="126">
        <f t="shared" si="8"/>
        <v>0</v>
      </c>
    </row>
    <row r="242" spans="1:32" hidden="1" x14ac:dyDescent="0.25">
      <c r="A242" s="59"/>
      <c r="B242" s="121"/>
      <c r="C242" s="122"/>
      <c r="D242" s="115"/>
      <c r="E242" s="122"/>
      <c r="F242" s="138"/>
      <c r="G242" s="122"/>
      <c r="H242" s="138"/>
      <c r="I242" s="122"/>
      <c r="J242" s="138"/>
      <c r="K242" s="122"/>
      <c r="L242" s="138"/>
      <c r="M242" s="122"/>
      <c r="N242" s="138"/>
      <c r="O242" s="122"/>
      <c r="P242" s="138"/>
      <c r="Q242" s="122"/>
      <c r="R242" s="138"/>
      <c r="S242" s="61"/>
      <c r="U242" s="143"/>
      <c r="V242" s="117"/>
      <c r="W242" s="118"/>
      <c r="X242" s="143"/>
      <c r="Y242" s="117"/>
      <c r="Z242" s="118"/>
      <c r="AA242" s="124"/>
      <c r="AB242" s="125"/>
      <c r="AC242" s="125"/>
      <c r="AD242" s="117"/>
      <c r="AE242" s="117"/>
      <c r="AF242" s="126">
        <f t="shared" si="8"/>
        <v>0</v>
      </c>
    </row>
    <row r="243" spans="1:32" hidden="1" x14ac:dyDescent="0.25">
      <c r="A243" s="59"/>
      <c r="B243" s="121"/>
      <c r="C243" s="122"/>
      <c r="D243" s="115"/>
      <c r="E243" s="122"/>
      <c r="F243" s="138"/>
      <c r="G243" s="122"/>
      <c r="H243" s="138"/>
      <c r="I243" s="122"/>
      <c r="J243" s="138"/>
      <c r="K243" s="122"/>
      <c r="L243" s="138"/>
      <c r="M243" s="122"/>
      <c r="N243" s="138"/>
      <c r="O243" s="122"/>
      <c r="P243" s="138"/>
      <c r="Q243" s="122"/>
      <c r="R243" s="138"/>
      <c r="S243" s="61"/>
      <c r="U243" s="143"/>
      <c r="V243" s="117"/>
      <c r="W243" s="118"/>
      <c r="X243" s="143"/>
      <c r="Y243" s="117"/>
      <c r="Z243" s="118"/>
      <c r="AA243" s="124"/>
      <c r="AB243" s="125"/>
      <c r="AC243" s="125"/>
      <c r="AD243" s="117"/>
      <c r="AE243" s="117"/>
      <c r="AF243" s="126">
        <f t="shared" si="8"/>
        <v>0</v>
      </c>
    </row>
    <row r="244" spans="1:32" hidden="1" x14ac:dyDescent="0.25">
      <c r="A244" s="59"/>
      <c r="B244" s="121"/>
      <c r="C244" s="122"/>
      <c r="D244" s="115"/>
      <c r="E244" s="122"/>
      <c r="F244" s="138"/>
      <c r="G244" s="122"/>
      <c r="H244" s="138"/>
      <c r="I244" s="122"/>
      <c r="J244" s="138"/>
      <c r="K244" s="122"/>
      <c r="L244" s="138"/>
      <c r="M244" s="122"/>
      <c r="N244" s="138"/>
      <c r="O244" s="122"/>
      <c r="P244" s="138"/>
      <c r="Q244" s="122"/>
      <c r="R244" s="138"/>
      <c r="S244" s="61"/>
      <c r="U244" s="143"/>
      <c r="V244" s="117"/>
      <c r="W244" s="118"/>
      <c r="X244" s="143"/>
      <c r="Y244" s="117"/>
      <c r="Z244" s="118"/>
      <c r="AA244" s="124"/>
      <c r="AB244" s="125"/>
      <c r="AC244" s="125"/>
      <c r="AD244" s="117"/>
      <c r="AE244" s="117"/>
      <c r="AF244" s="126">
        <f t="shared" si="8"/>
        <v>0</v>
      </c>
    </row>
    <row r="245" spans="1:32" hidden="1" x14ac:dyDescent="0.25">
      <c r="A245" s="59"/>
      <c r="B245" s="121"/>
      <c r="C245" s="122"/>
      <c r="D245" s="115"/>
      <c r="E245" s="122"/>
      <c r="F245" s="138"/>
      <c r="G245" s="122"/>
      <c r="H245" s="138"/>
      <c r="I245" s="122"/>
      <c r="J245" s="138"/>
      <c r="K245" s="122"/>
      <c r="L245" s="138"/>
      <c r="M245" s="122"/>
      <c r="N245" s="138"/>
      <c r="O245" s="122"/>
      <c r="P245" s="138"/>
      <c r="Q245" s="122"/>
      <c r="R245" s="138"/>
      <c r="S245" s="61"/>
      <c r="U245" s="143"/>
      <c r="V245" s="117"/>
      <c r="W245" s="118"/>
      <c r="X245" s="143"/>
      <c r="Y245" s="117"/>
      <c r="Z245" s="118"/>
      <c r="AA245" s="124"/>
      <c r="AB245" s="125"/>
      <c r="AC245" s="125"/>
      <c r="AD245" s="117"/>
      <c r="AE245" s="117"/>
      <c r="AF245" s="126">
        <f t="shared" si="8"/>
        <v>0</v>
      </c>
    </row>
    <row r="246" spans="1:32" hidden="1" x14ac:dyDescent="0.25">
      <c r="A246" s="59"/>
      <c r="B246" s="121"/>
      <c r="C246" s="122"/>
      <c r="D246" s="115"/>
      <c r="E246" s="122"/>
      <c r="F246" s="138"/>
      <c r="G246" s="122"/>
      <c r="H246" s="138"/>
      <c r="I246" s="122"/>
      <c r="J246" s="138"/>
      <c r="K246" s="122"/>
      <c r="L246" s="138"/>
      <c r="M246" s="122"/>
      <c r="N246" s="138"/>
      <c r="O246" s="122"/>
      <c r="P246" s="138"/>
      <c r="Q246" s="122"/>
      <c r="R246" s="138"/>
      <c r="S246" s="61"/>
      <c r="U246" s="143"/>
      <c r="V246" s="117"/>
      <c r="W246" s="118"/>
      <c r="X246" s="143"/>
      <c r="Y246" s="117"/>
      <c r="Z246" s="118"/>
      <c r="AA246" s="124"/>
      <c r="AB246" s="125"/>
      <c r="AC246" s="125"/>
      <c r="AD246" s="117"/>
      <c r="AE246" s="117"/>
      <c r="AF246" s="126">
        <f t="shared" si="8"/>
        <v>0</v>
      </c>
    </row>
    <row r="247" spans="1:32" hidden="1" x14ac:dyDescent="0.25">
      <c r="A247" s="59"/>
      <c r="B247" s="121"/>
      <c r="C247" s="122"/>
      <c r="D247" s="115"/>
      <c r="E247" s="122"/>
      <c r="F247" s="138"/>
      <c r="G247" s="122"/>
      <c r="H247" s="138"/>
      <c r="I247" s="122"/>
      <c r="J247" s="138"/>
      <c r="K247" s="122"/>
      <c r="L247" s="138"/>
      <c r="M247" s="122"/>
      <c r="N247" s="138"/>
      <c r="O247" s="122"/>
      <c r="P247" s="138"/>
      <c r="Q247" s="122"/>
      <c r="R247" s="138"/>
      <c r="S247" s="61"/>
      <c r="U247" s="143"/>
      <c r="V247" s="117"/>
      <c r="W247" s="118"/>
      <c r="X247" s="143"/>
      <c r="Y247" s="117"/>
      <c r="Z247" s="118"/>
      <c r="AA247" s="124"/>
      <c r="AB247" s="125"/>
      <c r="AC247" s="125"/>
      <c r="AD247" s="117"/>
      <c r="AE247" s="117"/>
      <c r="AF247" s="126">
        <f t="shared" si="8"/>
        <v>0</v>
      </c>
    </row>
    <row r="248" spans="1:32" hidden="1" x14ac:dyDescent="0.25">
      <c r="A248" s="59"/>
      <c r="B248" s="121"/>
      <c r="C248" s="122"/>
      <c r="D248" s="115"/>
      <c r="E248" s="122"/>
      <c r="F248" s="138"/>
      <c r="G248" s="122"/>
      <c r="H248" s="138"/>
      <c r="I248" s="122"/>
      <c r="J248" s="138"/>
      <c r="K248" s="122"/>
      <c r="L248" s="138"/>
      <c r="M248" s="122"/>
      <c r="N248" s="138"/>
      <c r="O248" s="122"/>
      <c r="P248" s="138"/>
      <c r="Q248" s="122"/>
      <c r="R248" s="138"/>
      <c r="S248" s="61"/>
      <c r="U248" s="143"/>
      <c r="V248" s="117"/>
      <c r="W248" s="118"/>
      <c r="X248" s="143"/>
      <c r="Y248" s="117"/>
      <c r="Z248" s="118"/>
      <c r="AA248" s="124"/>
      <c r="AB248" s="125"/>
      <c r="AC248" s="125"/>
      <c r="AD248" s="117"/>
      <c r="AE248" s="117"/>
      <c r="AF248" s="126">
        <f t="shared" si="8"/>
        <v>0</v>
      </c>
    </row>
    <row r="249" spans="1:32" hidden="1" x14ac:dyDescent="0.25">
      <c r="A249" s="59"/>
      <c r="B249" s="121"/>
      <c r="C249" s="122"/>
      <c r="D249" s="115"/>
      <c r="E249" s="122"/>
      <c r="F249" s="138"/>
      <c r="G249" s="122"/>
      <c r="H249" s="138"/>
      <c r="I249" s="122"/>
      <c r="J249" s="138"/>
      <c r="K249" s="122"/>
      <c r="L249" s="138"/>
      <c r="M249" s="122"/>
      <c r="N249" s="138"/>
      <c r="O249" s="122"/>
      <c r="P249" s="138"/>
      <c r="Q249" s="122"/>
      <c r="R249" s="138"/>
      <c r="S249" s="61"/>
      <c r="U249" s="143"/>
      <c r="V249" s="117"/>
      <c r="W249" s="118"/>
      <c r="X249" s="143"/>
      <c r="Y249" s="117"/>
      <c r="Z249" s="118"/>
      <c r="AA249" s="124"/>
      <c r="AB249" s="125"/>
      <c r="AC249" s="125"/>
      <c r="AD249" s="117"/>
      <c r="AE249" s="117"/>
      <c r="AF249" s="126">
        <f t="shared" si="8"/>
        <v>0</v>
      </c>
    </row>
    <row r="250" spans="1:32" ht="25.5" collapsed="1" x14ac:dyDescent="0.25">
      <c r="A250" s="59"/>
      <c r="B250" s="660" t="s">
        <v>973</v>
      </c>
      <c r="C250" s="130"/>
      <c r="D250" s="130"/>
      <c r="E250" s="130"/>
      <c r="F250" s="130"/>
      <c r="G250" s="130"/>
      <c r="H250" s="130"/>
      <c r="I250" s="130"/>
      <c r="J250" s="130"/>
      <c r="K250" s="130"/>
      <c r="L250" s="130"/>
      <c r="M250" s="130"/>
      <c r="N250" s="130"/>
      <c r="O250" s="130"/>
      <c r="P250" s="130"/>
      <c r="Q250" s="130"/>
      <c r="R250" s="131"/>
      <c r="S250" s="94"/>
      <c r="U250" s="145"/>
      <c r="V250" s="136"/>
      <c r="W250" s="134"/>
      <c r="X250" s="144"/>
      <c r="Y250" s="133"/>
      <c r="Z250" s="134"/>
      <c r="AA250" s="135"/>
      <c r="AB250" s="136"/>
      <c r="AC250" s="136"/>
      <c r="AD250" s="136"/>
      <c r="AE250" s="136"/>
      <c r="AF250" s="137" t="str">
        <f t="shared" si="8"/>
        <v>Alarm devices - Sound and Voice and Light (Beacon)
Volume settings is assumed as "high" for calculation.</v>
      </c>
    </row>
    <row r="251" spans="1:32" ht="13" hidden="1" outlineLevel="1" x14ac:dyDescent="0.25">
      <c r="A251" s="59"/>
      <c r="B251" s="346" t="s">
        <v>908</v>
      </c>
      <c r="C251" s="122">
        <v>0</v>
      </c>
      <c r="D251" s="113" t="s">
        <v>147</v>
      </c>
      <c r="E251" s="123">
        <v>0</v>
      </c>
      <c r="F251" s="115" t="s">
        <v>147</v>
      </c>
      <c r="G251" s="122">
        <v>0</v>
      </c>
      <c r="H251" s="113" t="s">
        <v>147</v>
      </c>
      <c r="I251" s="123">
        <v>0</v>
      </c>
      <c r="J251" s="115" t="s">
        <v>147</v>
      </c>
      <c r="K251" s="122">
        <v>0</v>
      </c>
      <c r="L251" s="113" t="s">
        <v>147</v>
      </c>
      <c r="M251" s="123">
        <v>0</v>
      </c>
      <c r="N251" s="115" t="s">
        <v>147</v>
      </c>
      <c r="O251" s="122">
        <v>0</v>
      </c>
      <c r="P251" s="113" t="s">
        <v>147</v>
      </c>
      <c r="Q251" s="123">
        <v>0</v>
      </c>
      <c r="R251" s="115" t="s">
        <v>147</v>
      </c>
      <c r="S251" s="61"/>
      <c r="U251" s="116">
        <f t="shared" ref="U251:U297" si="11">V251+W251</f>
        <v>1.25</v>
      </c>
      <c r="V251" s="117">
        <v>1.25</v>
      </c>
      <c r="W251" s="118">
        <v>0</v>
      </c>
      <c r="X251" s="116">
        <f t="shared" ref="X251:X297" si="12">Y251+Z251</f>
        <v>111</v>
      </c>
      <c r="Y251" s="117">
        <v>23</v>
      </c>
      <c r="Z251" s="118">
        <v>88</v>
      </c>
      <c r="AA251" s="124">
        <v>1</v>
      </c>
      <c r="AB251" s="125">
        <v>1</v>
      </c>
      <c r="AC251" s="125">
        <v>0</v>
      </c>
      <c r="AD251" s="117">
        <v>1</v>
      </c>
      <c r="AE251" s="117">
        <v>1</v>
      </c>
      <c r="AF251" s="126" t="str">
        <f t="shared" si="8"/>
        <v>FDS227 - Voice sounder beacon, Red Light, High Intensity</v>
      </c>
    </row>
    <row r="252" spans="1:32" ht="13" hidden="1" outlineLevel="1" x14ac:dyDescent="0.25">
      <c r="A252" s="59"/>
      <c r="B252" s="346" t="s">
        <v>909</v>
      </c>
      <c r="C252" s="122">
        <v>0</v>
      </c>
      <c r="D252" s="113" t="s">
        <v>147</v>
      </c>
      <c r="E252" s="123">
        <v>0</v>
      </c>
      <c r="F252" s="115" t="s">
        <v>147</v>
      </c>
      <c r="G252" s="122">
        <v>0</v>
      </c>
      <c r="H252" s="113" t="s">
        <v>147</v>
      </c>
      <c r="I252" s="123">
        <v>0</v>
      </c>
      <c r="J252" s="115" t="s">
        <v>147</v>
      </c>
      <c r="K252" s="122">
        <v>0</v>
      </c>
      <c r="L252" s="113" t="s">
        <v>147</v>
      </c>
      <c r="M252" s="123">
        <v>0</v>
      </c>
      <c r="N252" s="115" t="s">
        <v>147</v>
      </c>
      <c r="O252" s="122">
        <v>0</v>
      </c>
      <c r="P252" s="113" t="s">
        <v>147</v>
      </c>
      <c r="Q252" s="123">
        <v>0</v>
      </c>
      <c r="R252" s="115" t="s">
        <v>147</v>
      </c>
      <c r="S252" s="61"/>
      <c r="U252" s="116">
        <f t="shared" si="11"/>
        <v>1.25</v>
      </c>
      <c r="V252" s="117">
        <v>1.25</v>
      </c>
      <c r="W252" s="118">
        <v>0</v>
      </c>
      <c r="X252" s="116">
        <f t="shared" si="12"/>
        <v>81</v>
      </c>
      <c r="Y252" s="117">
        <v>23</v>
      </c>
      <c r="Z252" s="118">
        <v>58</v>
      </c>
      <c r="AA252" s="124">
        <v>1</v>
      </c>
      <c r="AB252" s="125">
        <v>1</v>
      </c>
      <c r="AC252" s="125">
        <v>0</v>
      </c>
      <c r="AD252" s="117">
        <v>1</v>
      </c>
      <c r="AE252" s="117">
        <v>1</v>
      </c>
      <c r="AF252" s="126" t="str">
        <f t="shared" si="8"/>
        <v>FDS227 - Voice sounder beacon, Red Light, Medium Intensity</v>
      </c>
    </row>
    <row r="253" spans="1:32" ht="13" hidden="1" outlineLevel="1" x14ac:dyDescent="0.25">
      <c r="A253" s="59"/>
      <c r="B253" s="346" t="s">
        <v>910</v>
      </c>
      <c r="C253" s="122">
        <v>0</v>
      </c>
      <c r="D253" s="113" t="s">
        <v>147</v>
      </c>
      <c r="E253" s="123">
        <v>0</v>
      </c>
      <c r="F253" s="115" t="s">
        <v>147</v>
      </c>
      <c r="G253" s="122">
        <v>0</v>
      </c>
      <c r="H253" s="113" t="s">
        <v>147</v>
      </c>
      <c r="I253" s="123">
        <v>0</v>
      </c>
      <c r="J253" s="115" t="s">
        <v>147</v>
      </c>
      <c r="K253" s="122">
        <v>0</v>
      </c>
      <c r="L253" s="113" t="s">
        <v>147</v>
      </c>
      <c r="M253" s="123">
        <v>0</v>
      </c>
      <c r="N253" s="115" t="s">
        <v>147</v>
      </c>
      <c r="O253" s="122">
        <v>0</v>
      </c>
      <c r="P253" s="113" t="s">
        <v>147</v>
      </c>
      <c r="Q253" s="123">
        <v>0</v>
      </c>
      <c r="R253" s="115" t="s">
        <v>147</v>
      </c>
      <c r="S253" s="61"/>
      <c r="U253" s="116">
        <f t="shared" si="11"/>
        <v>1.25</v>
      </c>
      <c r="V253" s="117">
        <v>1.25</v>
      </c>
      <c r="W253" s="118">
        <v>0</v>
      </c>
      <c r="X253" s="116">
        <f t="shared" si="12"/>
        <v>65</v>
      </c>
      <c r="Y253" s="117">
        <v>23</v>
      </c>
      <c r="Z253" s="118">
        <v>42</v>
      </c>
      <c r="AA253" s="124">
        <v>1</v>
      </c>
      <c r="AB253" s="125">
        <v>1</v>
      </c>
      <c r="AC253" s="125">
        <v>0</v>
      </c>
      <c r="AD253" s="117">
        <v>1</v>
      </c>
      <c r="AE253" s="117">
        <v>1</v>
      </c>
      <c r="AF253" s="126" t="str">
        <f t="shared" si="8"/>
        <v>FDS227 - Voice sounder beacon, Red Light, Low Intensity</v>
      </c>
    </row>
    <row r="254" spans="1:32" ht="13" hidden="1" outlineLevel="1" x14ac:dyDescent="0.25">
      <c r="A254" s="59"/>
      <c r="B254" s="346" t="s">
        <v>911</v>
      </c>
      <c r="C254" s="122">
        <v>0</v>
      </c>
      <c r="D254" s="113" t="s">
        <v>147</v>
      </c>
      <c r="E254" s="123">
        <v>0</v>
      </c>
      <c r="F254" s="115" t="s">
        <v>147</v>
      </c>
      <c r="G254" s="122">
        <v>0</v>
      </c>
      <c r="H254" s="113" t="s">
        <v>147</v>
      </c>
      <c r="I254" s="123">
        <v>0</v>
      </c>
      <c r="J254" s="115" t="s">
        <v>147</v>
      </c>
      <c r="K254" s="122">
        <v>0</v>
      </c>
      <c r="L254" s="113" t="s">
        <v>147</v>
      </c>
      <c r="M254" s="123">
        <v>0</v>
      </c>
      <c r="N254" s="115" t="s">
        <v>147</v>
      </c>
      <c r="O254" s="122">
        <v>0</v>
      </c>
      <c r="P254" s="113" t="s">
        <v>147</v>
      </c>
      <c r="Q254" s="123">
        <v>0</v>
      </c>
      <c r="R254" s="115" t="s">
        <v>147</v>
      </c>
      <c r="S254" s="61"/>
      <c r="U254" s="116">
        <f t="shared" si="11"/>
        <v>1.25</v>
      </c>
      <c r="V254" s="117">
        <v>1.25</v>
      </c>
      <c r="W254" s="118">
        <v>0</v>
      </c>
      <c r="X254" s="116">
        <f t="shared" si="12"/>
        <v>32</v>
      </c>
      <c r="Y254" s="117">
        <v>23</v>
      </c>
      <c r="Z254" s="118">
        <v>9</v>
      </c>
      <c r="AA254" s="124">
        <v>1</v>
      </c>
      <c r="AB254" s="125">
        <v>1</v>
      </c>
      <c r="AC254" s="125">
        <v>0</v>
      </c>
      <c r="AD254" s="117">
        <v>1</v>
      </c>
      <c r="AE254" s="117">
        <v>0</v>
      </c>
      <c r="AF254" s="126" t="str">
        <f t="shared" si="8"/>
        <v>FDS227 - Voice sounder beacon, Red Light, Indicator Mode</v>
      </c>
    </row>
    <row r="255" spans="1:32" ht="13" hidden="1" outlineLevel="1" x14ac:dyDescent="0.25">
      <c r="A255" s="59"/>
      <c r="B255" s="346" t="s">
        <v>912</v>
      </c>
      <c r="C255" s="122">
        <v>0</v>
      </c>
      <c r="D255" s="113" t="s">
        <v>147</v>
      </c>
      <c r="E255" s="123">
        <v>0</v>
      </c>
      <c r="F255" s="115" t="s">
        <v>147</v>
      </c>
      <c r="G255" s="122">
        <v>0</v>
      </c>
      <c r="H255" s="113" t="s">
        <v>147</v>
      </c>
      <c r="I255" s="123">
        <v>0</v>
      </c>
      <c r="J255" s="115" t="s">
        <v>147</v>
      </c>
      <c r="K255" s="122">
        <v>0</v>
      </c>
      <c r="L255" s="113" t="s">
        <v>147</v>
      </c>
      <c r="M255" s="123">
        <v>0</v>
      </c>
      <c r="N255" s="115" t="s">
        <v>147</v>
      </c>
      <c r="O255" s="122">
        <v>0</v>
      </c>
      <c r="P255" s="113" t="s">
        <v>147</v>
      </c>
      <c r="Q255" s="123">
        <v>0</v>
      </c>
      <c r="R255" s="115" t="s">
        <v>147</v>
      </c>
      <c r="S255" s="61"/>
      <c r="U255" s="116">
        <f t="shared" si="11"/>
        <v>1.25</v>
      </c>
      <c r="V255" s="117">
        <v>1.25</v>
      </c>
      <c r="W255" s="118">
        <v>0</v>
      </c>
      <c r="X255" s="116">
        <f t="shared" si="12"/>
        <v>110</v>
      </c>
      <c r="Y255" s="117">
        <v>23</v>
      </c>
      <c r="Z255" s="118">
        <v>87</v>
      </c>
      <c r="AA255" s="124">
        <v>1</v>
      </c>
      <c r="AB255" s="125">
        <v>1</v>
      </c>
      <c r="AC255" s="125">
        <v>0</v>
      </c>
      <c r="AD255" s="117">
        <v>1</v>
      </c>
      <c r="AE255" s="117">
        <v>1</v>
      </c>
      <c r="AF255" s="126" t="str">
        <f t="shared" si="8"/>
        <v>FDS227 - Voice sounder beacon, White Light, High Intensity</v>
      </c>
    </row>
    <row r="256" spans="1:32" ht="13" hidden="1" outlineLevel="1" x14ac:dyDescent="0.25">
      <c r="A256" s="59"/>
      <c r="B256" s="346" t="s">
        <v>913</v>
      </c>
      <c r="C256" s="122">
        <v>0</v>
      </c>
      <c r="D256" s="113" t="s">
        <v>147</v>
      </c>
      <c r="E256" s="123">
        <v>0</v>
      </c>
      <c r="F256" s="115" t="s">
        <v>147</v>
      </c>
      <c r="G256" s="122">
        <v>0</v>
      </c>
      <c r="H256" s="113" t="s">
        <v>147</v>
      </c>
      <c r="I256" s="123">
        <v>0</v>
      </c>
      <c r="J256" s="115" t="s">
        <v>147</v>
      </c>
      <c r="K256" s="122">
        <v>0</v>
      </c>
      <c r="L256" s="113" t="s">
        <v>147</v>
      </c>
      <c r="M256" s="123">
        <v>0</v>
      </c>
      <c r="N256" s="115" t="s">
        <v>147</v>
      </c>
      <c r="O256" s="122">
        <v>0</v>
      </c>
      <c r="P256" s="113" t="s">
        <v>147</v>
      </c>
      <c r="Q256" s="123">
        <v>0</v>
      </c>
      <c r="R256" s="115" t="s">
        <v>147</v>
      </c>
      <c r="S256" s="61"/>
      <c r="U256" s="116">
        <f t="shared" si="11"/>
        <v>1.25</v>
      </c>
      <c r="V256" s="117">
        <v>1.25</v>
      </c>
      <c r="W256" s="118">
        <v>0</v>
      </c>
      <c r="X256" s="116">
        <f t="shared" si="12"/>
        <v>63</v>
      </c>
      <c r="Y256" s="117">
        <v>23</v>
      </c>
      <c r="Z256" s="118">
        <v>40</v>
      </c>
      <c r="AA256" s="124">
        <v>1</v>
      </c>
      <c r="AB256" s="125">
        <v>1</v>
      </c>
      <c r="AC256" s="125">
        <v>0</v>
      </c>
      <c r="AD256" s="117">
        <v>1</v>
      </c>
      <c r="AE256" s="117">
        <v>1</v>
      </c>
      <c r="AF256" s="126" t="str">
        <f t="shared" si="8"/>
        <v>FDS227 - Voice sounder beacon, White Light, Medium Intensity</v>
      </c>
    </row>
    <row r="257" spans="1:32" ht="13" hidden="1" outlineLevel="1" x14ac:dyDescent="0.25">
      <c r="A257" s="59"/>
      <c r="B257" s="346" t="s">
        <v>914</v>
      </c>
      <c r="C257" s="122">
        <v>0</v>
      </c>
      <c r="D257" s="113" t="s">
        <v>147</v>
      </c>
      <c r="E257" s="123">
        <v>0</v>
      </c>
      <c r="F257" s="115" t="s">
        <v>147</v>
      </c>
      <c r="G257" s="122">
        <v>0</v>
      </c>
      <c r="H257" s="113" t="s">
        <v>147</v>
      </c>
      <c r="I257" s="123">
        <v>0</v>
      </c>
      <c r="J257" s="115" t="s">
        <v>147</v>
      </c>
      <c r="K257" s="122">
        <v>0</v>
      </c>
      <c r="L257" s="113" t="s">
        <v>147</v>
      </c>
      <c r="M257" s="123">
        <v>0</v>
      </c>
      <c r="N257" s="115" t="s">
        <v>147</v>
      </c>
      <c r="O257" s="122">
        <v>0</v>
      </c>
      <c r="P257" s="113" t="s">
        <v>147</v>
      </c>
      <c r="Q257" s="123">
        <v>0</v>
      </c>
      <c r="R257" s="115" t="s">
        <v>147</v>
      </c>
      <c r="S257" s="61"/>
      <c r="U257" s="116">
        <f t="shared" si="11"/>
        <v>1.25</v>
      </c>
      <c r="V257" s="117">
        <v>1.25</v>
      </c>
      <c r="W257" s="118">
        <v>0</v>
      </c>
      <c r="X257" s="116">
        <f t="shared" si="12"/>
        <v>52</v>
      </c>
      <c r="Y257" s="117">
        <v>23</v>
      </c>
      <c r="Z257" s="118">
        <v>29</v>
      </c>
      <c r="AA257" s="124">
        <v>1</v>
      </c>
      <c r="AB257" s="125">
        <v>1</v>
      </c>
      <c r="AC257" s="125">
        <v>0</v>
      </c>
      <c r="AD257" s="117">
        <v>1</v>
      </c>
      <c r="AE257" s="117">
        <v>1</v>
      </c>
      <c r="AF257" s="126" t="str">
        <f t="shared" si="8"/>
        <v>FDS227 - Voice sounder beacon, White Light, Low Intensity</v>
      </c>
    </row>
    <row r="258" spans="1:32" ht="13" hidden="1" outlineLevel="1" x14ac:dyDescent="0.25">
      <c r="A258" s="59"/>
      <c r="B258" s="346" t="s">
        <v>915</v>
      </c>
      <c r="C258" s="122">
        <v>0</v>
      </c>
      <c r="D258" s="113" t="s">
        <v>147</v>
      </c>
      <c r="E258" s="123">
        <v>0</v>
      </c>
      <c r="F258" s="115" t="s">
        <v>147</v>
      </c>
      <c r="G258" s="122">
        <v>0</v>
      </c>
      <c r="H258" s="113" t="s">
        <v>147</v>
      </c>
      <c r="I258" s="123">
        <v>0</v>
      </c>
      <c r="J258" s="115" t="s">
        <v>147</v>
      </c>
      <c r="K258" s="122">
        <v>0</v>
      </c>
      <c r="L258" s="113" t="s">
        <v>147</v>
      </c>
      <c r="M258" s="123">
        <v>0</v>
      </c>
      <c r="N258" s="115" t="s">
        <v>147</v>
      </c>
      <c r="O258" s="122">
        <v>0</v>
      </c>
      <c r="P258" s="113" t="s">
        <v>147</v>
      </c>
      <c r="Q258" s="123">
        <v>0</v>
      </c>
      <c r="R258" s="115" t="s">
        <v>147</v>
      </c>
      <c r="S258" s="61"/>
      <c r="U258" s="116">
        <f t="shared" si="11"/>
        <v>1.25</v>
      </c>
      <c r="V258" s="117">
        <v>1.25</v>
      </c>
      <c r="W258" s="118">
        <v>0</v>
      </c>
      <c r="X258" s="116">
        <f t="shared" si="12"/>
        <v>32</v>
      </c>
      <c r="Y258" s="117">
        <v>23</v>
      </c>
      <c r="Z258" s="118">
        <v>9</v>
      </c>
      <c r="AA258" s="124">
        <v>1</v>
      </c>
      <c r="AB258" s="125">
        <v>1</v>
      </c>
      <c r="AC258" s="125">
        <v>0</v>
      </c>
      <c r="AD258" s="117">
        <v>1</v>
      </c>
      <c r="AE258" s="117">
        <v>0</v>
      </c>
      <c r="AF258" s="126" t="str">
        <f t="shared" si="8"/>
        <v>FDS227 - Voice sounder beacon, White Light, Indicator Mode</v>
      </c>
    </row>
    <row r="259" spans="1:32" ht="13" hidden="1" outlineLevel="1" x14ac:dyDescent="0.25">
      <c r="A259" s="59"/>
      <c r="B259" s="346" t="s">
        <v>916</v>
      </c>
      <c r="C259" s="122">
        <v>0</v>
      </c>
      <c r="D259" s="113" t="s">
        <v>147</v>
      </c>
      <c r="E259" s="123">
        <v>0</v>
      </c>
      <c r="F259" s="115" t="s">
        <v>147</v>
      </c>
      <c r="G259" s="122">
        <v>0</v>
      </c>
      <c r="H259" s="113" t="s">
        <v>147</v>
      </c>
      <c r="I259" s="123">
        <v>0</v>
      </c>
      <c r="J259" s="115" t="s">
        <v>147</v>
      </c>
      <c r="K259" s="122">
        <v>0</v>
      </c>
      <c r="L259" s="113" t="s">
        <v>147</v>
      </c>
      <c r="M259" s="123">
        <v>0</v>
      </c>
      <c r="N259" s="115" t="s">
        <v>147</v>
      </c>
      <c r="O259" s="122">
        <v>0</v>
      </c>
      <c r="P259" s="113" t="s">
        <v>147</v>
      </c>
      <c r="Q259" s="123">
        <v>0</v>
      </c>
      <c r="R259" s="115" t="s">
        <v>147</v>
      </c>
      <c r="S259" s="61"/>
      <c r="U259" s="116">
        <f t="shared" si="11"/>
        <v>1.25</v>
      </c>
      <c r="V259" s="117">
        <v>1.25</v>
      </c>
      <c r="W259" s="118">
        <v>0</v>
      </c>
      <c r="X259" s="116">
        <f t="shared" si="12"/>
        <v>116</v>
      </c>
      <c r="Y259" s="117">
        <v>24</v>
      </c>
      <c r="Z259" s="118">
        <v>92</v>
      </c>
      <c r="AA259" s="124">
        <v>1</v>
      </c>
      <c r="AB259" s="125">
        <v>1</v>
      </c>
      <c r="AC259" s="125">
        <v>0</v>
      </c>
      <c r="AD259" s="117">
        <v>1</v>
      </c>
      <c r="AE259" s="117">
        <v>1</v>
      </c>
      <c r="AF259" s="126" t="str">
        <f t="shared" si="8"/>
        <v>FDSB227 - Voice sounder beacon base, Red Light, High Intensity</v>
      </c>
    </row>
    <row r="260" spans="1:32" ht="13" hidden="1" outlineLevel="1" x14ac:dyDescent="0.25">
      <c r="A260" s="59"/>
      <c r="B260" s="346" t="s">
        <v>917</v>
      </c>
      <c r="C260" s="122">
        <v>0</v>
      </c>
      <c r="D260" s="113" t="s">
        <v>147</v>
      </c>
      <c r="E260" s="123">
        <v>0</v>
      </c>
      <c r="F260" s="115" t="s">
        <v>147</v>
      </c>
      <c r="G260" s="122">
        <v>0</v>
      </c>
      <c r="H260" s="113" t="s">
        <v>147</v>
      </c>
      <c r="I260" s="123">
        <v>0</v>
      </c>
      <c r="J260" s="115" t="s">
        <v>147</v>
      </c>
      <c r="K260" s="122">
        <v>0</v>
      </c>
      <c r="L260" s="113" t="s">
        <v>147</v>
      </c>
      <c r="M260" s="123">
        <v>0</v>
      </c>
      <c r="N260" s="115" t="s">
        <v>147</v>
      </c>
      <c r="O260" s="122">
        <v>0</v>
      </c>
      <c r="P260" s="113" t="s">
        <v>147</v>
      </c>
      <c r="Q260" s="123">
        <v>0</v>
      </c>
      <c r="R260" s="115" t="s">
        <v>147</v>
      </c>
      <c r="S260" s="61"/>
      <c r="U260" s="116">
        <f t="shared" si="11"/>
        <v>1.25</v>
      </c>
      <c r="V260" s="117">
        <v>1.25</v>
      </c>
      <c r="W260" s="118">
        <v>0</v>
      </c>
      <c r="X260" s="116">
        <f t="shared" si="12"/>
        <v>88</v>
      </c>
      <c r="Y260" s="117">
        <v>24</v>
      </c>
      <c r="Z260" s="118">
        <v>64</v>
      </c>
      <c r="AA260" s="124">
        <v>1</v>
      </c>
      <c r="AB260" s="125">
        <v>1</v>
      </c>
      <c r="AC260" s="125">
        <v>0</v>
      </c>
      <c r="AD260" s="117">
        <v>1</v>
      </c>
      <c r="AE260" s="117">
        <v>1</v>
      </c>
      <c r="AF260" s="126" t="str">
        <f t="shared" si="8"/>
        <v>FDSB227 - Voice sounder beacon base, Red Light, Medium Intensity</v>
      </c>
    </row>
    <row r="261" spans="1:32" ht="13" hidden="1" outlineLevel="1" x14ac:dyDescent="0.25">
      <c r="A261" s="59"/>
      <c r="B261" s="346" t="s">
        <v>918</v>
      </c>
      <c r="C261" s="122">
        <v>0</v>
      </c>
      <c r="D261" s="113" t="s">
        <v>147</v>
      </c>
      <c r="E261" s="123">
        <v>0</v>
      </c>
      <c r="F261" s="115" t="s">
        <v>147</v>
      </c>
      <c r="G261" s="122">
        <v>0</v>
      </c>
      <c r="H261" s="113" t="s">
        <v>147</v>
      </c>
      <c r="I261" s="123">
        <v>0</v>
      </c>
      <c r="J261" s="115" t="s">
        <v>147</v>
      </c>
      <c r="K261" s="122">
        <v>0</v>
      </c>
      <c r="L261" s="113" t="s">
        <v>147</v>
      </c>
      <c r="M261" s="123">
        <v>0</v>
      </c>
      <c r="N261" s="115" t="s">
        <v>147</v>
      </c>
      <c r="O261" s="122">
        <v>0</v>
      </c>
      <c r="P261" s="113" t="s">
        <v>147</v>
      </c>
      <c r="Q261" s="123">
        <v>0</v>
      </c>
      <c r="R261" s="115" t="s">
        <v>147</v>
      </c>
      <c r="S261" s="61"/>
      <c r="U261" s="116">
        <f t="shared" si="11"/>
        <v>1.25</v>
      </c>
      <c r="V261" s="117">
        <v>1.25</v>
      </c>
      <c r="W261" s="118">
        <v>0</v>
      </c>
      <c r="X261" s="116">
        <f t="shared" si="12"/>
        <v>61</v>
      </c>
      <c r="Y261" s="117">
        <v>24</v>
      </c>
      <c r="Z261" s="118">
        <v>37</v>
      </c>
      <c r="AA261" s="124">
        <v>1</v>
      </c>
      <c r="AB261" s="125">
        <v>1</v>
      </c>
      <c r="AC261" s="125">
        <v>0</v>
      </c>
      <c r="AD261" s="117">
        <v>1</v>
      </c>
      <c r="AE261" s="117">
        <v>1</v>
      </c>
      <c r="AF261" s="126" t="str">
        <f t="shared" si="8"/>
        <v>FDSB227 - Voice sounder beacon base, Red Light, Low Intensity</v>
      </c>
    </row>
    <row r="262" spans="1:32" ht="13" hidden="1" outlineLevel="1" x14ac:dyDescent="0.25">
      <c r="A262" s="59"/>
      <c r="B262" s="346" t="s">
        <v>919</v>
      </c>
      <c r="C262" s="122">
        <v>0</v>
      </c>
      <c r="D262" s="113" t="s">
        <v>147</v>
      </c>
      <c r="E262" s="123">
        <v>0</v>
      </c>
      <c r="F262" s="115" t="s">
        <v>147</v>
      </c>
      <c r="G262" s="122">
        <v>0</v>
      </c>
      <c r="H262" s="113" t="s">
        <v>147</v>
      </c>
      <c r="I262" s="123">
        <v>0</v>
      </c>
      <c r="J262" s="115" t="s">
        <v>147</v>
      </c>
      <c r="K262" s="122">
        <v>0</v>
      </c>
      <c r="L262" s="113" t="s">
        <v>147</v>
      </c>
      <c r="M262" s="123">
        <v>0</v>
      </c>
      <c r="N262" s="115" t="s">
        <v>147</v>
      </c>
      <c r="O262" s="122">
        <v>0</v>
      </c>
      <c r="P262" s="113" t="s">
        <v>147</v>
      </c>
      <c r="Q262" s="123">
        <v>0</v>
      </c>
      <c r="R262" s="115" t="s">
        <v>147</v>
      </c>
      <c r="S262" s="61"/>
      <c r="U262" s="116">
        <f t="shared" si="11"/>
        <v>1.25</v>
      </c>
      <c r="V262" s="117">
        <v>1.25</v>
      </c>
      <c r="W262" s="118">
        <v>0</v>
      </c>
      <c r="X262" s="116">
        <f t="shared" si="12"/>
        <v>33</v>
      </c>
      <c r="Y262" s="117">
        <v>24</v>
      </c>
      <c r="Z262" s="118">
        <v>9</v>
      </c>
      <c r="AA262" s="124">
        <v>1</v>
      </c>
      <c r="AB262" s="125">
        <v>1</v>
      </c>
      <c r="AC262" s="125">
        <v>0</v>
      </c>
      <c r="AD262" s="117">
        <v>1</v>
      </c>
      <c r="AE262" s="117">
        <v>0</v>
      </c>
      <c r="AF262" s="126" t="str">
        <f t="shared" si="8"/>
        <v>FDSB227 - Voice sounder beacon base, Red Light, Indicator Mode</v>
      </c>
    </row>
    <row r="263" spans="1:32" ht="13" hidden="1" outlineLevel="1" x14ac:dyDescent="0.25">
      <c r="A263" s="59"/>
      <c r="B263" s="346" t="s">
        <v>920</v>
      </c>
      <c r="C263" s="122">
        <v>0</v>
      </c>
      <c r="D263" s="113" t="s">
        <v>147</v>
      </c>
      <c r="E263" s="123">
        <v>0</v>
      </c>
      <c r="F263" s="115" t="s">
        <v>147</v>
      </c>
      <c r="G263" s="122">
        <v>0</v>
      </c>
      <c r="H263" s="113" t="s">
        <v>147</v>
      </c>
      <c r="I263" s="123">
        <v>0</v>
      </c>
      <c r="J263" s="115" t="s">
        <v>147</v>
      </c>
      <c r="K263" s="122">
        <v>0</v>
      </c>
      <c r="L263" s="113" t="s">
        <v>147</v>
      </c>
      <c r="M263" s="123">
        <v>0</v>
      </c>
      <c r="N263" s="115" t="s">
        <v>147</v>
      </c>
      <c r="O263" s="122">
        <v>0</v>
      </c>
      <c r="P263" s="113" t="s">
        <v>147</v>
      </c>
      <c r="Q263" s="123">
        <v>0</v>
      </c>
      <c r="R263" s="115" t="s">
        <v>147</v>
      </c>
      <c r="S263" s="61"/>
      <c r="U263" s="116">
        <f t="shared" si="11"/>
        <v>1.25</v>
      </c>
      <c r="V263" s="117">
        <v>1.25</v>
      </c>
      <c r="W263" s="118">
        <v>0</v>
      </c>
      <c r="X263" s="116">
        <f t="shared" si="12"/>
        <v>133</v>
      </c>
      <c r="Y263" s="117">
        <v>24</v>
      </c>
      <c r="Z263" s="118">
        <v>109</v>
      </c>
      <c r="AA263" s="124">
        <v>1</v>
      </c>
      <c r="AB263" s="125">
        <v>1</v>
      </c>
      <c r="AC263" s="125">
        <v>0</v>
      </c>
      <c r="AD263" s="117">
        <v>1</v>
      </c>
      <c r="AE263" s="117">
        <v>1</v>
      </c>
      <c r="AF263" s="126" t="str">
        <f t="shared" si="8"/>
        <v>FDSB227 - Voice sounder beacon base, White Light, High Intensity</v>
      </c>
    </row>
    <row r="264" spans="1:32" ht="13" hidden="1" outlineLevel="1" x14ac:dyDescent="0.25">
      <c r="A264" s="59"/>
      <c r="B264" s="346" t="s">
        <v>921</v>
      </c>
      <c r="C264" s="122">
        <v>0</v>
      </c>
      <c r="D264" s="113" t="s">
        <v>147</v>
      </c>
      <c r="E264" s="123">
        <v>0</v>
      </c>
      <c r="F264" s="115" t="s">
        <v>147</v>
      </c>
      <c r="G264" s="122">
        <v>0</v>
      </c>
      <c r="H264" s="113" t="s">
        <v>147</v>
      </c>
      <c r="I264" s="123">
        <v>0</v>
      </c>
      <c r="J264" s="115" t="s">
        <v>147</v>
      </c>
      <c r="K264" s="122">
        <v>0</v>
      </c>
      <c r="L264" s="113" t="s">
        <v>147</v>
      </c>
      <c r="M264" s="123">
        <v>0</v>
      </c>
      <c r="N264" s="115" t="s">
        <v>147</v>
      </c>
      <c r="O264" s="122">
        <v>0</v>
      </c>
      <c r="P264" s="113" t="s">
        <v>147</v>
      </c>
      <c r="Q264" s="123">
        <v>0</v>
      </c>
      <c r="R264" s="115" t="s">
        <v>147</v>
      </c>
      <c r="S264" s="61"/>
      <c r="U264" s="116">
        <f t="shared" si="11"/>
        <v>1.25</v>
      </c>
      <c r="V264" s="117">
        <v>1.25</v>
      </c>
      <c r="W264" s="118">
        <v>0</v>
      </c>
      <c r="X264" s="116">
        <f t="shared" si="12"/>
        <v>83</v>
      </c>
      <c r="Y264" s="117">
        <v>24</v>
      </c>
      <c r="Z264" s="118">
        <v>59</v>
      </c>
      <c r="AA264" s="124">
        <v>1</v>
      </c>
      <c r="AB264" s="125">
        <v>1</v>
      </c>
      <c r="AC264" s="125">
        <v>0</v>
      </c>
      <c r="AD264" s="117">
        <v>1</v>
      </c>
      <c r="AE264" s="117">
        <v>1</v>
      </c>
      <c r="AF264" s="126" t="str">
        <f t="shared" si="8"/>
        <v>FDSB227 - Voice sounder beacon base, White Light, Medium Intensity</v>
      </c>
    </row>
    <row r="265" spans="1:32" ht="13" hidden="1" outlineLevel="1" x14ac:dyDescent="0.25">
      <c r="A265" s="59"/>
      <c r="B265" s="346" t="s">
        <v>922</v>
      </c>
      <c r="C265" s="122">
        <v>0</v>
      </c>
      <c r="D265" s="113" t="s">
        <v>147</v>
      </c>
      <c r="E265" s="123">
        <v>0</v>
      </c>
      <c r="F265" s="115" t="s">
        <v>147</v>
      </c>
      <c r="G265" s="122">
        <v>0</v>
      </c>
      <c r="H265" s="113" t="s">
        <v>147</v>
      </c>
      <c r="I265" s="123">
        <v>0</v>
      </c>
      <c r="J265" s="115" t="s">
        <v>147</v>
      </c>
      <c r="K265" s="122">
        <v>0</v>
      </c>
      <c r="L265" s="113" t="s">
        <v>147</v>
      </c>
      <c r="M265" s="123">
        <v>0</v>
      </c>
      <c r="N265" s="115" t="s">
        <v>147</v>
      </c>
      <c r="O265" s="122">
        <v>0</v>
      </c>
      <c r="P265" s="113" t="s">
        <v>147</v>
      </c>
      <c r="Q265" s="123">
        <v>0</v>
      </c>
      <c r="R265" s="115" t="s">
        <v>147</v>
      </c>
      <c r="S265" s="61"/>
      <c r="U265" s="116">
        <f t="shared" si="11"/>
        <v>1.25</v>
      </c>
      <c r="V265" s="117">
        <v>1.25</v>
      </c>
      <c r="W265" s="118">
        <v>0</v>
      </c>
      <c r="X265" s="116">
        <f t="shared" si="12"/>
        <v>50</v>
      </c>
      <c r="Y265" s="117">
        <v>24</v>
      </c>
      <c r="Z265" s="118">
        <v>26</v>
      </c>
      <c r="AA265" s="124">
        <v>1</v>
      </c>
      <c r="AB265" s="125">
        <v>1</v>
      </c>
      <c r="AC265" s="125">
        <v>0</v>
      </c>
      <c r="AD265" s="117">
        <v>1</v>
      </c>
      <c r="AE265" s="117">
        <v>1</v>
      </c>
      <c r="AF265" s="126" t="str">
        <f t="shared" si="8"/>
        <v>FDSB227 - Voice sounder beacon base, White Light, Low Intensity</v>
      </c>
    </row>
    <row r="266" spans="1:32" ht="13" hidden="1" outlineLevel="1" x14ac:dyDescent="0.25">
      <c r="A266" s="59"/>
      <c r="B266" s="346" t="s">
        <v>923</v>
      </c>
      <c r="C266" s="122">
        <v>0</v>
      </c>
      <c r="D266" s="113" t="s">
        <v>780</v>
      </c>
      <c r="E266" s="123">
        <v>0</v>
      </c>
      <c r="F266" s="115" t="s">
        <v>147</v>
      </c>
      <c r="G266" s="122">
        <v>0</v>
      </c>
      <c r="H266" s="113" t="s">
        <v>147</v>
      </c>
      <c r="I266" s="123">
        <v>0</v>
      </c>
      <c r="J266" s="115" t="s">
        <v>147</v>
      </c>
      <c r="K266" s="122">
        <v>0</v>
      </c>
      <c r="L266" s="113" t="s">
        <v>147</v>
      </c>
      <c r="M266" s="123">
        <v>0</v>
      </c>
      <c r="N266" s="115" t="s">
        <v>147</v>
      </c>
      <c r="O266" s="122">
        <v>0</v>
      </c>
      <c r="P266" s="113" t="s">
        <v>147</v>
      </c>
      <c r="Q266" s="123">
        <v>0</v>
      </c>
      <c r="R266" s="115" t="s">
        <v>147</v>
      </c>
      <c r="S266" s="61"/>
      <c r="U266" s="116">
        <f t="shared" si="11"/>
        <v>1.25</v>
      </c>
      <c r="V266" s="117">
        <v>1.25</v>
      </c>
      <c r="W266" s="118">
        <v>0</v>
      </c>
      <c r="X266" s="116">
        <f t="shared" si="12"/>
        <v>33</v>
      </c>
      <c r="Y266" s="117">
        <v>24</v>
      </c>
      <c r="Z266" s="118">
        <v>9</v>
      </c>
      <c r="AA266" s="124">
        <v>1</v>
      </c>
      <c r="AB266" s="125">
        <v>1</v>
      </c>
      <c r="AC266" s="125">
        <v>0</v>
      </c>
      <c r="AD266" s="117">
        <v>1</v>
      </c>
      <c r="AE266" s="117">
        <v>0</v>
      </c>
      <c r="AF266" s="126" t="str">
        <f t="shared" si="8"/>
        <v>FDSB227 - Voice sounder beacon base, White Light, Indicator Mode</v>
      </c>
    </row>
    <row r="267" spans="1:32" hidden="1" x14ac:dyDescent="0.25">
      <c r="A267" s="59"/>
      <c r="B267" s="121"/>
      <c r="C267" s="122"/>
      <c r="D267" s="115"/>
      <c r="E267" s="122"/>
      <c r="F267" s="138"/>
      <c r="G267" s="122"/>
      <c r="H267" s="138"/>
      <c r="I267" s="122"/>
      <c r="J267" s="138"/>
      <c r="K267" s="122"/>
      <c r="L267" s="138"/>
      <c r="M267" s="122"/>
      <c r="N267" s="138"/>
      <c r="O267" s="122"/>
      <c r="P267" s="138"/>
      <c r="Q267" s="122"/>
      <c r="R267" s="138"/>
      <c r="S267" s="61"/>
      <c r="U267" s="116">
        <f t="shared" si="11"/>
        <v>0</v>
      </c>
      <c r="V267" s="117"/>
      <c r="W267" s="118"/>
      <c r="X267" s="116">
        <f t="shared" si="12"/>
        <v>0</v>
      </c>
      <c r="Y267" s="117"/>
      <c r="Z267" s="118"/>
      <c r="AA267" s="124"/>
      <c r="AB267" s="125"/>
      <c r="AC267" s="125"/>
      <c r="AD267" s="117"/>
      <c r="AE267" s="117"/>
      <c r="AF267" s="126">
        <f t="shared" si="8"/>
        <v>0</v>
      </c>
    </row>
    <row r="268" spans="1:32" hidden="1" x14ac:dyDescent="0.25">
      <c r="A268" s="59"/>
      <c r="B268" s="121"/>
      <c r="C268" s="122"/>
      <c r="D268" s="115"/>
      <c r="E268" s="122"/>
      <c r="F268" s="138"/>
      <c r="G268" s="122"/>
      <c r="H268" s="138"/>
      <c r="I268" s="122"/>
      <c r="J268" s="138"/>
      <c r="K268" s="122"/>
      <c r="L268" s="138"/>
      <c r="M268" s="122"/>
      <c r="N268" s="138"/>
      <c r="O268" s="122"/>
      <c r="P268" s="138"/>
      <c r="Q268" s="122"/>
      <c r="R268" s="138"/>
      <c r="S268" s="61"/>
      <c r="U268" s="116">
        <f t="shared" si="11"/>
        <v>0</v>
      </c>
      <c r="V268" s="117"/>
      <c r="W268" s="118"/>
      <c r="X268" s="116">
        <f t="shared" si="12"/>
        <v>0</v>
      </c>
      <c r="Y268" s="117"/>
      <c r="Z268" s="118"/>
      <c r="AA268" s="124"/>
      <c r="AB268" s="125"/>
      <c r="AC268" s="125"/>
      <c r="AD268" s="117"/>
      <c r="AE268" s="117"/>
      <c r="AF268" s="126">
        <f t="shared" si="8"/>
        <v>0</v>
      </c>
    </row>
    <row r="269" spans="1:32" hidden="1" x14ac:dyDescent="0.25">
      <c r="A269" s="59"/>
      <c r="B269" s="121"/>
      <c r="C269" s="122"/>
      <c r="D269" s="115"/>
      <c r="E269" s="122"/>
      <c r="F269" s="138"/>
      <c r="G269" s="122"/>
      <c r="H269" s="138"/>
      <c r="I269" s="122"/>
      <c r="J269" s="138"/>
      <c r="K269" s="122"/>
      <c r="L269" s="138"/>
      <c r="M269" s="122"/>
      <c r="N269" s="138"/>
      <c r="O269" s="122"/>
      <c r="P269" s="138"/>
      <c r="Q269" s="122"/>
      <c r="R269" s="138"/>
      <c r="S269" s="61"/>
      <c r="U269" s="116">
        <f t="shared" si="11"/>
        <v>0</v>
      </c>
      <c r="V269" s="117"/>
      <c r="W269" s="118"/>
      <c r="X269" s="116">
        <f t="shared" si="12"/>
        <v>0</v>
      </c>
      <c r="Y269" s="117"/>
      <c r="Z269" s="118"/>
      <c r="AA269" s="124"/>
      <c r="AB269" s="125"/>
      <c r="AC269" s="125"/>
      <c r="AD269" s="117"/>
      <c r="AE269" s="117"/>
      <c r="AF269" s="126">
        <f t="shared" si="8"/>
        <v>0</v>
      </c>
    </row>
    <row r="270" spans="1:32" hidden="1" x14ac:dyDescent="0.25">
      <c r="A270" s="59"/>
      <c r="B270" s="121"/>
      <c r="C270" s="122"/>
      <c r="D270" s="115"/>
      <c r="E270" s="122"/>
      <c r="F270" s="138"/>
      <c r="G270" s="122"/>
      <c r="H270" s="138"/>
      <c r="I270" s="122"/>
      <c r="J270" s="138"/>
      <c r="K270" s="122"/>
      <c r="L270" s="138"/>
      <c r="M270" s="122"/>
      <c r="N270" s="138"/>
      <c r="O270" s="122"/>
      <c r="P270" s="138"/>
      <c r="Q270" s="122"/>
      <c r="R270" s="138"/>
      <c r="S270" s="61"/>
      <c r="U270" s="116">
        <f t="shared" si="11"/>
        <v>0</v>
      </c>
      <c r="V270" s="117"/>
      <c r="W270" s="118"/>
      <c r="X270" s="116">
        <f t="shared" si="12"/>
        <v>0</v>
      </c>
      <c r="Y270" s="117"/>
      <c r="Z270" s="118"/>
      <c r="AA270" s="124"/>
      <c r="AB270" s="125"/>
      <c r="AC270" s="125"/>
      <c r="AD270" s="117"/>
      <c r="AE270" s="117"/>
      <c r="AF270" s="126">
        <f t="shared" si="8"/>
        <v>0</v>
      </c>
    </row>
    <row r="271" spans="1:32" hidden="1" x14ac:dyDescent="0.25">
      <c r="A271" s="59"/>
      <c r="B271" s="121"/>
      <c r="C271" s="122"/>
      <c r="D271" s="115"/>
      <c r="E271" s="122"/>
      <c r="F271" s="138"/>
      <c r="G271" s="122"/>
      <c r="H271" s="138"/>
      <c r="I271" s="122"/>
      <c r="J271" s="138"/>
      <c r="K271" s="122"/>
      <c r="L271" s="138"/>
      <c r="M271" s="122"/>
      <c r="N271" s="138"/>
      <c r="O271" s="122"/>
      <c r="P271" s="138"/>
      <c r="Q271" s="122"/>
      <c r="R271" s="138"/>
      <c r="S271" s="61"/>
      <c r="U271" s="116">
        <f t="shared" si="11"/>
        <v>0</v>
      </c>
      <c r="V271" s="117"/>
      <c r="W271" s="118"/>
      <c r="X271" s="116">
        <f t="shared" si="12"/>
        <v>0</v>
      </c>
      <c r="Y271" s="117"/>
      <c r="Z271" s="118"/>
      <c r="AA271" s="124"/>
      <c r="AB271" s="125"/>
      <c r="AC271" s="125"/>
      <c r="AD271" s="117"/>
      <c r="AE271" s="117"/>
      <c r="AF271" s="126">
        <f t="shared" si="8"/>
        <v>0</v>
      </c>
    </row>
    <row r="272" spans="1:32" hidden="1" x14ac:dyDescent="0.25">
      <c r="A272" s="59"/>
      <c r="B272" s="121"/>
      <c r="C272" s="122"/>
      <c r="D272" s="115"/>
      <c r="E272" s="122"/>
      <c r="F272" s="138"/>
      <c r="G272" s="122"/>
      <c r="H272" s="138"/>
      <c r="I272" s="122"/>
      <c r="J272" s="138"/>
      <c r="K272" s="122"/>
      <c r="L272" s="138"/>
      <c r="M272" s="122"/>
      <c r="N272" s="138"/>
      <c r="O272" s="122"/>
      <c r="P272" s="138"/>
      <c r="Q272" s="122"/>
      <c r="R272" s="138"/>
      <c r="S272" s="61"/>
      <c r="U272" s="116">
        <f t="shared" si="11"/>
        <v>0</v>
      </c>
      <c r="V272" s="117"/>
      <c r="W272" s="118"/>
      <c r="X272" s="116">
        <f t="shared" si="12"/>
        <v>0</v>
      </c>
      <c r="Y272" s="117"/>
      <c r="Z272" s="118"/>
      <c r="AA272" s="124"/>
      <c r="AB272" s="125"/>
      <c r="AC272" s="125"/>
      <c r="AD272" s="117"/>
      <c r="AE272" s="117"/>
      <c r="AF272" s="126">
        <f t="shared" si="8"/>
        <v>0</v>
      </c>
    </row>
    <row r="273" spans="1:32" hidden="1" x14ac:dyDescent="0.25">
      <c r="A273" s="59"/>
      <c r="B273" s="121"/>
      <c r="C273" s="122"/>
      <c r="D273" s="115"/>
      <c r="E273" s="122"/>
      <c r="F273" s="138"/>
      <c r="G273" s="122"/>
      <c r="H273" s="138"/>
      <c r="I273" s="122"/>
      <c r="J273" s="138"/>
      <c r="K273" s="122"/>
      <c r="L273" s="138"/>
      <c r="M273" s="122"/>
      <c r="N273" s="138"/>
      <c r="O273" s="122"/>
      <c r="P273" s="138"/>
      <c r="Q273" s="122"/>
      <c r="R273" s="138"/>
      <c r="S273" s="61"/>
      <c r="U273" s="116">
        <f t="shared" si="11"/>
        <v>0</v>
      </c>
      <c r="V273" s="117"/>
      <c r="W273" s="118"/>
      <c r="X273" s="116">
        <f t="shared" si="12"/>
        <v>0</v>
      </c>
      <c r="Y273" s="117"/>
      <c r="Z273" s="118"/>
      <c r="AA273" s="124"/>
      <c r="AB273" s="125"/>
      <c r="AC273" s="125"/>
      <c r="AD273" s="117"/>
      <c r="AE273" s="117"/>
      <c r="AF273" s="126">
        <f t="shared" si="8"/>
        <v>0</v>
      </c>
    </row>
    <row r="274" spans="1:32" hidden="1" x14ac:dyDescent="0.25">
      <c r="A274" s="59"/>
      <c r="B274" s="121"/>
      <c r="C274" s="122"/>
      <c r="D274" s="115"/>
      <c r="E274" s="122"/>
      <c r="F274" s="138"/>
      <c r="G274" s="122"/>
      <c r="H274" s="138"/>
      <c r="I274" s="122"/>
      <c r="J274" s="138"/>
      <c r="K274" s="122"/>
      <c r="L274" s="138"/>
      <c r="M274" s="122"/>
      <c r="N274" s="138"/>
      <c r="O274" s="122"/>
      <c r="P274" s="138"/>
      <c r="Q274" s="122"/>
      <c r="R274" s="138"/>
      <c r="S274" s="61"/>
      <c r="U274" s="116">
        <f t="shared" si="11"/>
        <v>0</v>
      </c>
      <c r="V274" s="117"/>
      <c r="W274" s="118"/>
      <c r="X274" s="116">
        <f t="shared" si="12"/>
        <v>0</v>
      </c>
      <c r="Y274" s="117"/>
      <c r="Z274" s="118"/>
      <c r="AA274" s="124"/>
      <c r="AB274" s="125"/>
      <c r="AC274" s="125"/>
      <c r="AD274" s="117"/>
      <c r="AE274" s="117"/>
      <c r="AF274" s="126">
        <f t="shared" si="8"/>
        <v>0</v>
      </c>
    </row>
    <row r="275" spans="1:32" hidden="1" x14ac:dyDescent="0.25">
      <c r="A275" s="59"/>
      <c r="B275" s="121"/>
      <c r="C275" s="122"/>
      <c r="D275" s="115"/>
      <c r="E275" s="122"/>
      <c r="F275" s="138"/>
      <c r="G275" s="122"/>
      <c r="H275" s="138"/>
      <c r="I275" s="122"/>
      <c r="J275" s="138"/>
      <c r="K275" s="122"/>
      <c r="L275" s="138"/>
      <c r="M275" s="122"/>
      <c r="N275" s="138"/>
      <c r="O275" s="122"/>
      <c r="P275" s="138"/>
      <c r="Q275" s="122"/>
      <c r="R275" s="138"/>
      <c r="S275" s="61"/>
      <c r="U275" s="116">
        <f t="shared" si="11"/>
        <v>0</v>
      </c>
      <c r="V275" s="117"/>
      <c r="W275" s="118"/>
      <c r="X275" s="116">
        <f t="shared" si="12"/>
        <v>0</v>
      </c>
      <c r="Y275" s="117"/>
      <c r="Z275" s="118"/>
      <c r="AA275" s="124"/>
      <c r="AB275" s="125"/>
      <c r="AC275" s="125"/>
      <c r="AD275" s="117"/>
      <c r="AE275" s="117"/>
      <c r="AF275" s="126">
        <f t="shared" si="8"/>
        <v>0</v>
      </c>
    </row>
    <row r="276" spans="1:32" hidden="1" x14ac:dyDescent="0.25">
      <c r="A276" s="59"/>
      <c r="B276" s="121"/>
      <c r="C276" s="122"/>
      <c r="D276" s="115"/>
      <c r="E276" s="122"/>
      <c r="F276" s="138"/>
      <c r="G276" s="122"/>
      <c r="H276" s="138"/>
      <c r="I276" s="122"/>
      <c r="J276" s="138"/>
      <c r="K276" s="122"/>
      <c r="L276" s="138"/>
      <c r="M276" s="122"/>
      <c r="N276" s="138"/>
      <c r="O276" s="122"/>
      <c r="P276" s="138"/>
      <c r="Q276" s="122"/>
      <c r="R276" s="138"/>
      <c r="S276" s="61"/>
      <c r="U276" s="116">
        <f t="shared" si="11"/>
        <v>0</v>
      </c>
      <c r="V276" s="117"/>
      <c r="W276" s="118"/>
      <c r="X276" s="116">
        <f t="shared" si="12"/>
        <v>0</v>
      </c>
      <c r="Y276" s="117"/>
      <c r="Z276" s="118"/>
      <c r="AA276" s="124"/>
      <c r="AB276" s="125"/>
      <c r="AC276" s="125"/>
      <c r="AD276" s="117"/>
      <c r="AE276" s="117"/>
      <c r="AF276" s="126">
        <f t="shared" ref="AF276:AF297" si="13">B276</f>
        <v>0</v>
      </c>
    </row>
    <row r="277" spans="1:32" ht="12.75" customHeight="1" collapsed="1" x14ac:dyDescent="0.25">
      <c r="A277" s="59"/>
      <c r="B277" s="660" t="s">
        <v>604</v>
      </c>
      <c r="C277" s="130"/>
      <c r="D277" s="130"/>
      <c r="E277" s="130"/>
      <c r="F277" s="130"/>
      <c r="G277" s="130"/>
      <c r="H277" s="130"/>
      <c r="I277" s="130"/>
      <c r="J277" s="130"/>
      <c r="K277" s="130"/>
      <c r="L277" s="130"/>
      <c r="M277" s="130"/>
      <c r="N277" s="130"/>
      <c r="O277" s="130"/>
      <c r="P277" s="130"/>
      <c r="Q277" s="130"/>
      <c r="R277" s="131"/>
      <c r="S277" s="94"/>
      <c r="U277" s="650"/>
      <c r="V277" s="136"/>
      <c r="W277" s="134"/>
      <c r="X277" s="650"/>
      <c r="Y277" s="133"/>
      <c r="Z277" s="134"/>
      <c r="AA277" s="135"/>
      <c r="AB277" s="136"/>
      <c r="AC277" s="136"/>
      <c r="AD277" s="136"/>
      <c r="AE277" s="136"/>
      <c r="AF277" s="651" t="str">
        <f t="shared" si="13"/>
        <v>External AI-Control</v>
      </c>
    </row>
    <row r="278" spans="1:32" ht="12.75" hidden="1" customHeight="1" outlineLevel="1" x14ac:dyDescent="0.25">
      <c r="A278" s="59"/>
      <c r="B278" s="141" t="s">
        <v>849</v>
      </c>
      <c r="C278" s="122">
        <v>0</v>
      </c>
      <c r="D278" s="113" t="s">
        <v>848</v>
      </c>
      <c r="E278" s="123">
        <v>0</v>
      </c>
      <c r="F278" s="115" t="s">
        <v>147</v>
      </c>
      <c r="G278" s="122">
        <v>0</v>
      </c>
      <c r="H278" s="113" t="s">
        <v>147</v>
      </c>
      <c r="I278" s="123">
        <v>0</v>
      </c>
      <c r="J278" s="115" t="s">
        <v>147</v>
      </c>
      <c r="K278" s="122">
        <v>0</v>
      </c>
      <c r="L278" s="113" t="s">
        <v>147</v>
      </c>
      <c r="M278" s="123">
        <v>0</v>
      </c>
      <c r="N278" s="115" t="s">
        <v>147</v>
      </c>
      <c r="O278" s="122">
        <v>0</v>
      </c>
      <c r="P278" s="113" t="s">
        <v>147</v>
      </c>
      <c r="Q278" s="123">
        <v>0</v>
      </c>
      <c r="R278" s="115" t="s">
        <v>147</v>
      </c>
      <c r="S278" s="61"/>
      <c r="U278" s="116">
        <f t="shared" si="11"/>
        <v>0</v>
      </c>
      <c r="V278" s="117">
        <v>0</v>
      </c>
      <c r="W278" s="118">
        <v>0</v>
      </c>
      <c r="X278" s="116">
        <f t="shared" si="12"/>
        <v>1</v>
      </c>
      <c r="Y278" s="117">
        <v>1</v>
      </c>
      <c r="Z278" s="118">
        <v>0</v>
      </c>
      <c r="AA278" s="124">
        <v>0</v>
      </c>
      <c r="AB278" s="125">
        <v>0</v>
      </c>
      <c r="AC278" s="125">
        <v>0</v>
      </c>
      <c r="AD278" s="117">
        <v>0</v>
      </c>
      <c r="AE278" s="117">
        <v>0</v>
      </c>
      <c r="AF278" s="126" t="str">
        <f t="shared" si="13"/>
        <v>FDAI9x - Ext. AI-Control</v>
      </c>
    </row>
    <row r="279" spans="1:32" ht="12.75" hidden="1" customHeight="1" x14ac:dyDescent="0.25">
      <c r="A279" s="59"/>
      <c r="B279" s="141"/>
      <c r="C279" s="122"/>
      <c r="D279" s="113"/>
      <c r="E279" s="123"/>
      <c r="F279" s="115"/>
      <c r="G279" s="122"/>
      <c r="H279" s="113"/>
      <c r="I279" s="123"/>
      <c r="J279" s="115"/>
      <c r="K279" s="122"/>
      <c r="L279" s="113"/>
      <c r="M279" s="123"/>
      <c r="N279" s="115"/>
      <c r="O279" s="122"/>
      <c r="P279" s="113"/>
      <c r="Q279" s="123"/>
      <c r="R279" s="115"/>
      <c r="S279" s="61"/>
      <c r="U279" s="116"/>
      <c r="V279" s="117"/>
      <c r="W279" s="118"/>
      <c r="X279" s="116"/>
      <c r="Y279" s="117"/>
      <c r="Z279" s="118"/>
      <c r="AA279" s="150"/>
      <c r="AB279" s="151"/>
      <c r="AC279" s="151"/>
      <c r="AD279" s="117"/>
      <c r="AE279" s="117"/>
      <c r="AF279" s="126">
        <f t="shared" si="13"/>
        <v>0</v>
      </c>
    </row>
    <row r="280" spans="1:32" ht="12.75" hidden="1" customHeight="1" x14ac:dyDescent="0.25">
      <c r="A280" s="59"/>
      <c r="B280" s="141"/>
      <c r="C280" s="122"/>
      <c r="D280" s="113"/>
      <c r="E280" s="123"/>
      <c r="F280" s="115"/>
      <c r="G280" s="122"/>
      <c r="H280" s="113"/>
      <c r="I280" s="123"/>
      <c r="J280" s="115"/>
      <c r="K280" s="122"/>
      <c r="L280" s="113"/>
      <c r="M280" s="123"/>
      <c r="N280" s="115"/>
      <c r="O280" s="122"/>
      <c r="P280" s="113"/>
      <c r="Q280" s="123"/>
      <c r="R280" s="115"/>
      <c r="S280" s="61"/>
      <c r="U280" s="116">
        <f t="shared" si="11"/>
        <v>0</v>
      </c>
      <c r="V280" s="117"/>
      <c r="W280" s="118"/>
      <c r="X280" s="116">
        <f t="shared" si="12"/>
        <v>0</v>
      </c>
      <c r="Y280" s="117"/>
      <c r="Z280" s="118"/>
      <c r="AA280" s="124"/>
      <c r="AB280" s="125"/>
      <c r="AC280" s="125"/>
      <c r="AD280" s="117"/>
      <c r="AE280" s="117"/>
      <c r="AF280" s="126">
        <f t="shared" si="13"/>
        <v>0</v>
      </c>
    </row>
    <row r="281" spans="1:32" ht="12.75" hidden="1" customHeight="1" x14ac:dyDescent="0.25">
      <c r="A281" s="59"/>
      <c r="B281" s="141"/>
      <c r="C281" s="122"/>
      <c r="D281" s="113"/>
      <c r="E281" s="123"/>
      <c r="F281" s="115"/>
      <c r="G281" s="122"/>
      <c r="H281" s="113"/>
      <c r="I281" s="123"/>
      <c r="J281" s="115"/>
      <c r="K281" s="122"/>
      <c r="L281" s="113"/>
      <c r="M281" s="123"/>
      <c r="N281" s="115"/>
      <c r="O281" s="122"/>
      <c r="P281" s="113"/>
      <c r="Q281" s="123"/>
      <c r="R281" s="115"/>
      <c r="S281" s="61"/>
      <c r="U281" s="116">
        <f t="shared" si="11"/>
        <v>0</v>
      </c>
      <c r="V281" s="117"/>
      <c r="W281" s="118"/>
      <c r="X281" s="116">
        <f t="shared" si="12"/>
        <v>0</v>
      </c>
      <c r="Y281" s="117"/>
      <c r="Z281" s="118"/>
      <c r="AA281" s="124"/>
      <c r="AB281" s="125"/>
      <c r="AC281" s="125"/>
      <c r="AD281" s="117"/>
      <c r="AE281" s="117"/>
      <c r="AF281" s="126">
        <f t="shared" si="13"/>
        <v>0</v>
      </c>
    </row>
    <row r="282" spans="1:32" ht="12.75" hidden="1" customHeight="1" x14ac:dyDescent="0.25">
      <c r="A282" s="59"/>
      <c r="B282" s="141"/>
      <c r="C282" s="122"/>
      <c r="D282" s="115"/>
      <c r="E282" s="122"/>
      <c r="F282" s="138"/>
      <c r="G282" s="122"/>
      <c r="H282" s="138"/>
      <c r="I282" s="122"/>
      <c r="J282" s="138"/>
      <c r="K282" s="122"/>
      <c r="L282" s="138"/>
      <c r="M282" s="122"/>
      <c r="N282" s="138"/>
      <c r="O282" s="122"/>
      <c r="P282" s="138"/>
      <c r="Q282" s="122"/>
      <c r="R282" s="138"/>
      <c r="S282" s="61"/>
      <c r="U282" s="116">
        <f t="shared" si="11"/>
        <v>0</v>
      </c>
      <c r="V282" s="117"/>
      <c r="X282" s="116">
        <f t="shared" si="12"/>
        <v>0</v>
      </c>
      <c r="Y282" s="117"/>
      <c r="AA282" s="124"/>
      <c r="AB282" s="125"/>
      <c r="AC282" s="125"/>
      <c r="AD282" s="117"/>
      <c r="AE282" s="117"/>
      <c r="AF282" s="126">
        <f t="shared" si="13"/>
        <v>0</v>
      </c>
    </row>
    <row r="283" spans="1:32" ht="12.75" hidden="1" customHeight="1" x14ac:dyDescent="0.25">
      <c r="A283" s="59"/>
      <c r="B283" s="141"/>
      <c r="C283" s="122"/>
      <c r="D283" s="115"/>
      <c r="E283" s="122"/>
      <c r="F283" s="138"/>
      <c r="G283" s="122"/>
      <c r="H283" s="138"/>
      <c r="I283" s="122"/>
      <c r="J283" s="138"/>
      <c r="K283" s="122"/>
      <c r="L283" s="138"/>
      <c r="M283" s="122"/>
      <c r="N283" s="138"/>
      <c r="O283" s="122"/>
      <c r="P283" s="138"/>
      <c r="Q283" s="122"/>
      <c r="R283" s="138"/>
      <c r="S283" s="61"/>
      <c r="U283" s="116">
        <f t="shared" si="11"/>
        <v>0</v>
      </c>
      <c r="V283" s="117"/>
      <c r="X283" s="116">
        <f t="shared" si="12"/>
        <v>0</v>
      </c>
      <c r="Y283" s="117"/>
      <c r="AA283" s="124"/>
      <c r="AB283" s="125"/>
      <c r="AC283" s="125"/>
      <c r="AD283" s="117"/>
      <c r="AE283" s="117"/>
      <c r="AF283" s="126">
        <f t="shared" si="13"/>
        <v>0</v>
      </c>
    </row>
    <row r="284" spans="1:32" ht="12.75" hidden="1" customHeight="1" x14ac:dyDescent="0.25">
      <c r="A284" s="59"/>
      <c r="B284" s="141"/>
      <c r="C284" s="122"/>
      <c r="D284" s="115"/>
      <c r="E284" s="122"/>
      <c r="F284" s="138"/>
      <c r="G284" s="122"/>
      <c r="H284" s="138"/>
      <c r="I284" s="122"/>
      <c r="J284" s="138"/>
      <c r="K284" s="122"/>
      <c r="L284" s="138"/>
      <c r="M284" s="122"/>
      <c r="N284" s="138"/>
      <c r="O284" s="122"/>
      <c r="P284" s="138"/>
      <c r="Q284" s="122"/>
      <c r="R284" s="138"/>
      <c r="S284" s="61"/>
      <c r="U284" s="116">
        <f t="shared" si="11"/>
        <v>0</v>
      </c>
      <c r="V284" s="117"/>
      <c r="X284" s="116">
        <f t="shared" si="12"/>
        <v>0</v>
      </c>
      <c r="Y284" s="117"/>
      <c r="AA284" s="124"/>
      <c r="AB284" s="125"/>
      <c r="AC284" s="125"/>
      <c r="AD284" s="117"/>
      <c r="AE284" s="117"/>
      <c r="AF284" s="126">
        <f t="shared" si="13"/>
        <v>0</v>
      </c>
    </row>
    <row r="285" spans="1:32" ht="12.75" hidden="1" customHeight="1" x14ac:dyDescent="0.25">
      <c r="A285" s="59"/>
      <c r="B285" s="141"/>
      <c r="C285" s="122"/>
      <c r="D285" s="115"/>
      <c r="E285" s="122"/>
      <c r="F285" s="138"/>
      <c r="G285" s="122"/>
      <c r="H285" s="138"/>
      <c r="I285" s="122"/>
      <c r="J285" s="138"/>
      <c r="K285" s="122"/>
      <c r="L285" s="138"/>
      <c r="M285" s="122"/>
      <c r="N285" s="138"/>
      <c r="O285" s="122"/>
      <c r="P285" s="138"/>
      <c r="Q285" s="122"/>
      <c r="R285" s="138"/>
      <c r="S285" s="61"/>
      <c r="U285" s="116">
        <f t="shared" si="11"/>
        <v>0</v>
      </c>
      <c r="V285" s="117"/>
      <c r="X285" s="116">
        <f t="shared" si="12"/>
        <v>0</v>
      </c>
      <c r="Y285" s="117"/>
      <c r="AA285" s="124"/>
      <c r="AB285" s="125"/>
      <c r="AC285" s="125"/>
      <c r="AD285" s="117"/>
      <c r="AE285" s="117"/>
      <c r="AF285" s="126">
        <f t="shared" si="13"/>
        <v>0</v>
      </c>
    </row>
    <row r="286" spans="1:32" ht="12.75" hidden="1" customHeight="1" x14ac:dyDescent="0.25">
      <c r="A286" s="59"/>
      <c r="B286" s="141"/>
      <c r="C286" s="122"/>
      <c r="D286" s="115"/>
      <c r="E286" s="122"/>
      <c r="F286" s="138"/>
      <c r="G286" s="122"/>
      <c r="H286" s="138"/>
      <c r="I286" s="122"/>
      <c r="J286" s="138"/>
      <c r="K286" s="122"/>
      <c r="L286" s="138"/>
      <c r="M286" s="122"/>
      <c r="N286" s="138"/>
      <c r="O286" s="122"/>
      <c r="P286" s="138"/>
      <c r="Q286" s="122"/>
      <c r="R286" s="138"/>
      <c r="S286" s="61"/>
      <c r="U286" s="116">
        <f t="shared" si="11"/>
        <v>0</v>
      </c>
      <c r="V286" s="117"/>
      <c r="X286" s="116">
        <f t="shared" si="12"/>
        <v>0</v>
      </c>
      <c r="Y286" s="117"/>
      <c r="AA286" s="124"/>
      <c r="AB286" s="125"/>
      <c r="AC286" s="125"/>
      <c r="AD286" s="117"/>
      <c r="AE286" s="117"/>
      <c r="AF286" s="126">
        <f t="shared" si="13"/>
        <v>0</v>
      </c>
    </row>
    <row r="287" spans="1:32" ht="12.75" hidden="1" customHeight="1" x14ac:dyDescent="0.25">
      <c r="A287" s="59"/>
      <c r="B287" s="141"/>
      <c r="C287" s="122"/>
      <c r="D287" s="115"/>
      <c r="E287" s="122"/>
      <c r="F287" s="138"/>
      <c r="G287" s="122"/>
      <c r="H287" s="138"/>
      <c r="I287" s="122"/>
      <c r="J287" s="138"/>
      <c r="K287" s="122"/>
      <c r="L287" s="138"/>
      <c r="M287" s="122"/>
      <c r="N287" s="138"/>
      <c r="O287" s="122"/>
      <c r="P287" s="138"/>
      <c r="Q287" s="122"/>
      <c r="R287" s="138"/>
      <c r="S287" s="61"/>
      <c r="U287" s="116">
        <f t="shared" si="11"/>
        <v>0</v>
      </c>
      <c r="V287" s="117"/>
      <c r="X287" s="116">
        <f t="shared" si="12"/>
        <v>0</v>
      </c>
      <c r="Y287" s="117"/>
      <c r="AA287" s="124"/>
      <c r="AB287" s="125"/>
      <c r="AC287" s="125"/>
      <c r="AD287" s="117"/>
      <c r="AE287" s="117"/>
      <c r="AF287" s="126">
        <f t="shared" si="13"/>
        <v>0</v>
      </c>
    </row>
    <row r="288" spans="1:32" ht="12.75" hidden="1" customHeight="1" x14ac:dyDescent="0.25">
      <c r="A288" s="59"/>
      <c r="B288" s="141"/>
      <c r="C288" s="122"/>
      <c r="D288" s="115"/>
      <c r="E288" s="122"/>
      <c r="F288" s="138"/>
      <c r="G288" s="122"/>
      <c r="H288" s="138"/>
      <c r="I288" s="122"/>
      <c r="J288" s="138"/>
      <c r="K288" s="122"/>
      <c r="L288" s="138"/>
      <c r="M288" s="122"/>
      <c r="N288" s="138"/>
      <c r="O288" s="122"/>
      <c r="P288" s="138"/>
      <c r="Q288" s="122"/>
      <c r="R288" s="138"/>
      <c r="S288" s="61"/>
      <c r="U288" s="116">
        <f t="shared" si="11"/>
        <v>0</v>
      </c>
      <c r="V288" s="117"/>
      <c r="X288" s="116">
        <f t="shared" si="12"/>
        <v>0</v>
      </c>
      <c r="Y288" s="117"/>
      <c r="AA288" s="124"/>
      <c r="AB288" s="125"/>
      <c r="AC288" s="125"/>
      <c r="AD288" s="117"/>
      <c r="AE288" s="117"/>
      <c r="AF288" s="126">
        <f t="shared" si="13"/>
        <v>0</v>
      </c>
    </row>
    <row r="289" spans="1:32" ht="12.75" hidden="1" customHeight="1" x14ac:dyDescent="0.25">
      <c r="A289" s="59"/>
      <c r="B289" s="141"/>
      <c r="C289" s="122"/>
      <c r="D289" s="115"/>
      <c r="E289" s="122"/>
      <c r="F289" s="138"/>
      <c r="G289" s="122"/>
      <c r="H289" s="138"/>
      <c r="I289" s="122"/>
      <c r="J289" s="138"/>
      <c r="K289" s="122"/>
      <c r="L289" s="138"/>
      <c r="M289" s="122"/>
      <c r="N289" s="138"/>
      <c r="O289" s="122"/>
      <c r="P289" s="138"/>
      <c r="Q289" s="122"/>
      <c r="R289" s="138"/>
      <c r="S289" s="61"/>
      <c r="U289" s="116">
        <f t="shared" si="11"/>
        <v>0</v>
      </c>
      <c r="V289" s="117"/>
      <c r="X289" s="116">
        <f t="shared" si="12"/>
        <v>0</v>
      </c>
      <c r="Y289" s="117"/>
      <c r="AA289" s="124"/>
      <c r="AB289" s="125"/>
      <c r="AC289" s="125"/>
      <c r="AD289" s="117"/>
      <c r="AE289" s="117"/>
      <c r="AF289" s="126">
        <f t="shared" si="13"/>
        <v>0</v>
      </c>
    </row>
    <row r="290" spans="1:32" ht="12.75" hidden="1" customHeight="1" x14ac:dyDescent="0.25">
      <c r="A290" s="59"/>
      <c r="B290" s="141"/>
      <c r="C290" s="122"/>
      <c r="D290" s="115"/>
      <c r="E290" s="122"/>
      <c r="F290" s="138"/>
      <c r="G290" s="122"/>
      <c r="H290" s="138"/>
      <c r="I290" s="122"/>
      <c r="J290" s="138"/>
      <c r="K290" s="122"/>
      <c r="L290" s="138"/>
      <c r="M290" s="122"/>
      <c r="N290" s="138"/>
      <c r="O290" s="122"/>
      <c r="P290" s="138"/>
      <c r="Q290" s="122"/>
      <c r="R290" s="138"/>
      <c r="S290" s="61"/>
      <c r="U290" s="116">
        <f t="shared" si="11"/>
        <v>0</v>
      </c>
      <c r="V290" s="117"/>
      <c r="X290" s="116">
        <f t="shared" si="12"/>
        <v>0</v>
      </c>
      <c r="Y290" s="117"/>
      <c r="AA290" s="124"/>
      <c r="AB290" s="125"/>
      <c r="AC290" s="125"/>
      <c r="AD290" s="117"/>
      <c r="AE290" s="117"/>
      <c r="AF290" s="126">
        <f t="shared" si="13"/>
        <v>0</v>
      </c>
    </row>
    <row r="291" spans="1:32" ht="12.75" hidden="1" customHeight="1" x14ac:dyDescent="0.25">
      <c r="A291" s="59"/>
      <c r="B291" s="141"/>
      <c r="C291" s="122"/>
      <c r="D291" s="115"/>
      <c r="E291" s="122"/>
      <c r="F291" s="138"/>
      <c r="G291" s="122"/>
      <c r="H291" s="138"/>
      <c r="I291" s="122"/>
      <c r="J291" s="138"/>
      <c r="K291" s="122"/>
      <c r="L291" s="138"/>
      <c r="M291" s="122"/>
      <c r="N291" s="138"/>
      <c r="O291" s="122"/>
      <c r="P291" s="138"/>
      <c r="Q291" s="122"/>
      <c r="R291" s="138"/>
      <c r="S291" s="61"/>
      <c r="U291" s="116">
        <f t="shared" si="11"/>
        <v>0</v>
      </c>
      <c r="V291" s="117"/>
      <c r="X291" s="116">
        <f t="shared" si="12"/>
        <v>0</v>
      </c>
      <c r="Y291" s="117"/>
      <c r="AA291" s="124"/>
      <c r="AB291" s="125"/>
      <c r="AC291" s="125"/>
      <c r="AD291" s="117"/>
      <c r="AE291" s="117"/>
      <c r="AF291" s="126">
        <f t="shared" si="13"/>
        <v>0</v>
      </c>
    </row>
    <row r="292" spans="1:32" ht="12.75" customHeight="1" collapsed="1" x14ac:dyDescent="0.25">
      <c r="A292" s="59"/>
      <c r="B292" s="660" t="s">
        <v>265</v>
      </c>
      <c r="C292" s="130"/>
      <c r="D292" s="130"/>
      <c r="E292" s="130"/>
      <c r="F292" s="130"/>
      <c r="G292" s="130"/>
      <c r="H292" s="130"/>
      <c r="I292" s="130"/>
      <c r="J292" s="130"/>
      <c r="K292" s="130"/>
      <c r="L292" s="130"/>
      <c r="M292" s="130"/>
      <c r="N292" s="130"/>
      <c r="O292" s="130"/>
      <c r="P292" s="130"/>
      <c r="Q292" s="130"/>
      <c r="R292" s="131"/>
      <c r="S292" s="94"/>
      <c r="U292" s="116"/>
      <c r="V292" s="136"/>
      <c r="W292" s="134"/>
      <c r="X292" s="133"/>
      <c r="Y292" s="133"/>
      <c r="Z292" s="134"/>
      <c r="AA292" s="135"/>
      <c r="AB292" s="136"/>
      <c r="AC292" s="136"/>
      <c r="AD292" s="136"/>
      <c r="AE292" s="136"/>
      <c r="AF292" s="126" t="str">
        <f t="shared" si="13"/>
        <v>Operation and indication devices</v>
      </c>
    </row>
    <row r="293" spans="1:32" ht="12.75" hidden="1" customHeight="1" outlineLevel="1" x14ac:dyDescent="0.25">
      <c r="A293" s="59"/>
      <c r="B293" s="121" t="s">
        <v>796</v>
      </c>
      <c r="C293" s="122">
        <v>0</v>
      </c>
      <c r="D293" s="113" t="s">
        <v>147</v>
      </c>
      <c r="E293" s="123">
        <v>0</v>
      </c>
      <c r="F293" s="115" t="s">
        <v>147</v>
      </c>
      <c r="G293" s="122">
        <v>0</v>
      </c>
      <c r="H293" s="113" t="s">
        <v>147</v>
      </c>
      <c r="I293" s="123">
        <v>0</v>
      </c>
      <c r="J293" s="115" t="s">
        <v>147</v>
      </c>
      <c r="K293" s="122">
        <v>0</v>
      </c>
      <c r="L293" s="113" t="s">
        <v>147</v>
      </c>
      <c r="M293" s="123">
        <v>0</v>
      </c>
      <c r="N293" s="115" t="s">
        <v>147</v>
      </c>
      <c r="O293" s="122">
        <v>0</v>
      </c>
      <c r="P293" s="113" t="s">
        <v>147</v>
      </c>
      <c r="Q293" s="123">
        <v>0</v>
      </c>
      <c r="R293" s="115" t="s">
        <v>147</v>
      </c>
      <c r="S293" s="61"/>
      <c r="U293" s="116">
        <f t="shared" si="11"/>
        <v>20</v>
      </c>
      <c r="V293" s="117">
        <v>20</v>
      </c>
      <c r="W293" s="118">
        <v>0</v>
      </c>
      <c r="X293" s="116">
        <f t="shared" si="12"/>
        <v>160</v>
      </c>
      <c r="Y293" s="117">
        <v>160</v>
      </c>
      <c r="Z293" s="118">
        <v>0</v>
      </c>
      <c r="AA293" s="124">
        <v>1</v>
      </c>
      <c r="AB293" s="125">
        <v>1</v>
      </c>
      <c r="AC293" s="125">
        <v>0</v>
      </c>
      <c r="AD293" s="117">
        <v>0</v>
      </c>
      <c r="AE293" s="117">
        <v>0</v>
      </c>
      <c r="AF293" s="126" t="str">
        <f t="shared" si="13"/>
        <v>FT2010 (supply over C-NET) - FRT</v>
      </c>
    </row>
    <row r="294" spans="1:32" ht="13.5" hidden="1" customHeight="1" outlineLevel="1" x14ac:dyDescent="0.25">
      <c r="A294" s="59"/>
      <c r="B294" s="121" t="s">
        <v>797</v>
      </c>
      <c r="C294" s="122">
        <v>0</v>
      </c>
      <c r="D294" s="113" t="s">
        <v>147</v>
      </c>
      <c r="E294" s="123">
        <v>0</v>
      </c>
      <c r="F294" s="115" t="s">
        <v>147</v>
      </c>
      <c r="G294" s="122">
        <v>0</v>
      </c>
      <c r="H294" s="113" t="s">
        <v>147</v>
      </c>
      <c r="I294" s="123">
        <v>0</v>
      </c>
      <c r="J294" s="115" t="s">
        <v>147</v>
      </c>
      <c r="K294" s="122">
        <v>0</v>
      </c>
      <c r="L294" s="113" t="s">
        <v>147</v>
      </c>
      <c r="M294" s="123">
        <v>0</v>
      </c>
      <c r="N294" s="115" t="s">
        <v>147</v>
      </c>
      <c r="O294" s="122">
        <v>0</v>
      </c>
      <c r="P294" s="113" t="s">
        <v>147</v>
      </c>
      <c r="Q294" s="123">
        <v>0</v>
      </c>
      <c r="R294" s="115" t="s">
        <v>147</v>
      </c>
      <c r="S294" s="61"/>
      <c r="U294" s="116">
        <f t="shared" si="11"/>
        <v>20</v>
      </c>
      <c r="V294" s="117">
        <v>20</v>
      </c>
      <c r="W294" s="118">
        <v>0</v>
      </c>
      <c r="X294" s="116">
        <f t="shared" si="12"/>
        <v>20</v>
      </c>
      <c r="Y294" s="117">
        <v>20</v>
      </c>
      <c r="Z294" s="118">
        <v>0</v>
      </c>
      <c r="AA294" s="124">
        <v>1</v>
      </c>
      <c r="AB294" s="125">
        <v>1</v>
      </c>
      <c r="AC294" s="125">
        <v>0</v>
      </c>
      <c r="AD294" s="117">
        <v>0</v>
      </c>
      <c r="AE294" s="117">
        <v>0</v>
      </c>
      <c r="AF294" s="126" t="str">
        <f t="shared" si="13"/>
        <v>FT2010 (with external supply) - FRT</v>
      </c>
    </row>
    <row r="295" spans="1:32" ht="13.5" hidden="1" customHeight="1" outlineLevel="1" x14ac:dyDescent="0.25">
      <c r="A295" s="59"/>
      <c r="B295" s="121" t="s">
        <v>798</v>
      </c>
      <c r="C295" s="122">
        <v>0</v>
      </c>
      <c r="D295" s="113" t="s">
        <v>795</v>
      </c>
      <c r="E295" s="123">
        <v>0</v>
      </c>
      <c r="F295" s="115" t="s">
        <v>147</v>
      </c>
      <c r="G295" s="122">
        <v>0</v>
      </c>
      <c r="H295" s="113" t="s">
        <v>147</v>
      </c>
      <c r="I295" s="123">
        <v>0</v>
      </c>
      <c r="J295" s="115" t="s">
        <v>147</v>
      </c>
      <c r="K295" s="122">
        <v>0</v>
      </c>
      <c r="L295" s="113" t="s">
        <v>147</v>
      </c>
      <c r="M295" s="123">
        <v>0</v>
      </c>
      <c r="N295" s="115" t="s">
        <v>147</v>
      </c>
      <c r="O295" s="122">
        <v>0</v>
      </c>
      <c r="P295" s="113" t="s">
        <v>147</v>
      </c>
      <c r="Q295" s="123">
        <v>0</v>
      </c>
      <c r="R295" s="115" t="s">
        <v>147</v>
      </c>
      <c r="S295" s="61"/>
      <c r="U295" s="116">
        <f t="shared" si="11"/>
        <v>20</v>
      </c>
      <c r="V295" s="117">
        <v>20</v>
      </c>
      <c r="W295" s="118">
        <v>0</v>
      </c>
      <c r="X295" s="116">
        <f t="shared" si="12"/>
        <v>160</v>
      </c>
      <c r="Y295" s="117">
        <v>160</v>
      </c>
      <c r="Z295" s="118">
        <v>0</v>
      </c>
      <c r="AA295" s="124">
        <v>1</v>
      </c>
      <c r="AB295" s="125">
        <v>1</v>
      </c>
      <c r="AC295" s="125">
        <v>0</v>
      </c>
      <c r="AD295" s="117">
        <v>0</v>
      </c>
      <c r="AE295" s="117">
        <v>0</v>
      </c>
      <c r="AF295" s="126" t="str">
        <f t="shared" si="13"/>
        <v>FT2011 (supply over C-NET) - FRD</v>
      </c>
    </row>
    <row r="296" spans="1:32" hidden="1" outlineLevel="1" x14ac:dyDescent="0.25">
      <c r="A296" s="59"/>
      <c r="B296" s="121" t="s">
        <v>799</v>
      </c>
      <c r="C296" s="122">
        <v>0</v>
      </c>
      <c r="D296" s="113" t="s">
        <v>795</v>
      </c>
      <c r="E296" s="123">
        <v>0</v>
      </c>
      <c r="F296" s="115" t="s">
        <v>147</v>
      </c>
      <c r="G296" s="122">
        <v>0</v>
      </c>
      <c r="H296" s="113" t="s">
        <v>147</v>
      </c>
      <c r="I296" s="123">
        <v>0</v>
      </c>
      <c r="J296" s="115" t="s">
        <v>147</v>
      </c>
      <c r="K296" s="122">
        <v>0</v>
      </c>
      <c r="L296" s="113" t="s">
        <v>147</v>
      </c>
      <c r="M296" s="123">
        <v>0</v>
      </c>
      <c r="N296" s="115" t="s">
        <v>147</v>
      </c>
      <c r="O296" s="122">
        <v>0</v>
      </c>
      <c r="P296" s="113" t="s">
        <v>147</v>
      </c>
      <c r="Q296" s="123">
        <v>0</v>
      </c>
      <c r="R296" s="115" t="s">
        <v>147</v>
      </c>
      <c r="S296" s="61"/>
      <c r="U296" s="116">
        <f t="shared" si="11"/>
        <v>20</v>
      </c>
      <c r="V296" s="117">
        <v>20</v>
      </c>
      <c r="W296" s="118">
        <v>0</v>
      </c>
      <c r="X296" s="116">
        <f t="shared" si="12"/>
        <v>20</v>
      </c>
      <c r="Y296" s="117">
        <v>20</v>
      </c>
      <c r="Z296" s="118">
        <v>0</v>
      </c>
      <c r="AA296" s="124">
        <v>1</v>
      </c>
      <c r="AB296" s="125">
        <v>1</v>
      </c>
      <c r="AC296" s="125">
        <v>0</v>
      </c>
      <c r="AD296" s="117">
        <v>0</v>
      </c>
      <c r="AE296" s="117">
        <v>0</v>
      </c>
      <c r="AF296" s="126" t="str">
        <f t="shared" si="13"/>
        <v>FT2011 (with external supply) - FRD</v>
      </c>
    </row>
    <row r="297" spans="1:32" hidden="1" outlineLevel="1" x14ac:dyDescent="0.25">
      <c r="A297" s="59"/>
      <c r="B297" s="121" t="s">
        <v>800</v>
      </c>
      <c r="C297" s="122">
        <v>0</v>
      </c>
      <c r="D297" s="113" t="s">
        <v>147</v>
      </c>
      <c r="E297" s="123">
        <v>0</v>
      </c>
      <c r="F297" s="115" t="s">
        <v>147</v>
      </c>
      <c r="G297" s="122">
        <v>0</v>
      </c>
      <c r="H297" s="113" t="s">
        <v>147</v>
      </c>
      <c r="I297" s="123">
        <v>0</v>
      </c>
      <c r="J297" s="115" t="s">
        <v>147</v>
      </c>
      <c r="K297" s="122">
        <v>0</v>
      </c>
      <c r="L297" s="113" t="s">
        <v>147</v>
      </c>
      <c r="M297" s="123">
        <v>0</v>
      </c>
      <c r="N297" s="115" t="s">
        <v>147</v>
      </c>
      <c r="O297" s="122">
        <v>0</v>
      </c>
      <c r="P297" s="113" t="s">
        <v>147</v>
      </c>
      <c r="Q297" s="123">
        <v>0</v>
      </c>
      <c r="R297" s="115" t="s">
        <v>147</v>
      </c>
      <c r="S297" s="61"/>
      <c r="U297" s="116">
        <f t="shared" si="11"/>
        <v>1</v>
      </c>
      <c r="V297" s="117">
        <v>1</v>
      </c>
      <c r="W297" s="118">
        <v>0</v>
      </c>
      <c r="X297" s="116">
        <f t="shared" si="12"/>
        <v>1</v>
      </c>
      <c r="Y297" s="117">
        <v>1</v>
      </c>
      <c r="Z297" s="118">
        <v>0</v>
      </c>
      <c r="AA297" s="124">
        <v>1</v>
      </c>
      <c r="AB297" s="125">
        <v>1</v>
      </c>
      <c r="AC297" s="125">
        <v>0</v>
      </c>
      <c r="AD297" s="117">
        <v>0</v>
      </c>
      <c r="AE297" s="117">
        <v>0</v>
      </c>
      <c r="AF297" s="126" t="str">
        <f t="shared" si="13"/>
        <v>FDCAI221 - Addressable alarm indicator</v>
      </c>
    </row>
    <row r="298" spans="1:32" hidden="1" x14ac:dyDescent="0.25">
      <c r="A298" s="59"/>
      <c r="B298" s="121"/>
      <c r="C298" s="122"/>
      <c r="D298" s="113"/>
      <c r="E298" s="123"/>
      <c r="F298" s="115"/>
      <c r="G298" s="122"/>
      <c r="H298" s="113"/>
      <c r="I298" s="123"/>
      <c r="J298" s="115"/>
      <c r="K298" s="122"/>
      <c r="L298" s="113"/>
      <c r="M298" s="123"/>
      <c r="N298" s="115"/>
      <c r="O298" s="122"/>
      <c r="P298" s="113"/>
      <c r="Q298" s="123"/>
      <c r="R298" s="115"/>
      <c r="S298" s="61"/>
      <c r="U298" s="116"/>
      <c r="V298" s="117"/>
      <c r="W298" s="118"/>
      <c r="X298" s="116"/>
      <c r="Y298" s="117"/>
      <c r="Z298" s="118"/>
      <c r="AA298" s="124"/>
      <c r="AB298" s="125"/>
      <c r="AC298" s="125"/>
      <c r="AD298" s="117"/>
      <c r="AE298" s="117"/>
      <c r="AF298" s="126"/>
    </row>
    <row r="299" spans="1:32" hidden="1" x14ac:dyDescent="0.25">
      <c r="A299" s="59"/>
      <c r="B299" s="121"/>
      <c r="C299" s="122"/>
      <c r="D299" s="113"/>
      <c r="E299" s="123"/>
      <c r="F299" s="115"/>
      <c r="G299" s="122"/>
      <c r="H299" s="113"/>
      <c r="I299" s="123"/>
      <c r="J299" s="115"/>
      <c r="K299" s="122"/>
      <c r="L299" s="113"/>
      <c r="M299" s="123"/>
      <c r="N299" s="115"/>
      <c r="O299" s="122"/>
      <c r="P299" s="113"/>
      <c r="Q299" s="123"/>
      <c r="R299" s="115"/>
      <c r="S299" s="61"/>
      <c r="U299" s="116"/>
      <c r="V299" s="117"/>
      <c r="W299" s="118"/>
      <c r="X299" s="116"/>
      <c r="Y299" s="117"/>
      <c r="Z299" s="118"/>
      <c r="AA299" s="124"/>
      <c r="AB299" s="125"/>
      <c r="AC299" s="125"/>
      <c r="AD299" s="117"/>
      <c r="AE299" s="117"/>
      <c r="AF299" s="126"/>
    </row>
    <row r="300" spans="1:32" hidden="1" x14ac:dyDescent="0.25">
      <c r="A300" s="59"/>
      <c r="B300" s="121"/>
      <c r="C300" s="122"/>
      <c r="D300" s="113"/>
      <c r="E300" s="123"/>
      <c r="F300" s="115"/>
      <c r="G300" s="122"/>
      <c r="H300" s="113"/>
      <c r="I300" s="123"/>
      <c r="J300" s="115"/>
      <c r="K300" s="122"/>
      <c r="L300" s="113"/>
      <c r="M300" s="123"/>
      <c r="N300" s="115"/>
      <c r="O300" s="122"/>
      <c r="P300" s="113"/>
      <c r="Q300" s="123"/>
      <c r="R300" s="115"/>
      <c r="S300" s="61"/>
      <c r="U300" s="116"/>
      <c r="V300" s="117"/>
      <c r="W300" s="118"/>
      <c r="X300" s="116"/>
      <c r="Y300" s="117"/>
      <c r="Z300" s="118"/>
      <c r="AA300" s="124"/>
      <c r="AB300" s="125"/>
      <c r="AC300" s="151"/>
      <c r="AD300" s="117"/>
      <c r="AE300" s="117"/>
      <c r="AF300" s="126"/>
    </row>
    <row r="301" spans="1:32" hidden="1" x14ac:dyDescent="0.25">
      <c r="A301" s="59"/>
      <c r="B301" s="111"/>
      <c r="C301" s="152"/>
      <c r="D301" s="113"/>
      <c r="E301" s="123"/>
      <c r="F301" s="349"/>
      <c r="G301" s="152"/>
      <c r="H301" s="113"/>
      <c r="I301" s="123"/>
      <c r="J301" s="349"/>
      <c r="K301" s="152"/>
      <c r="L301" s="113"/>
      <c r="M301" s="123"/>
      <c r="N301" s="349"/>
      <c r="O301" s="152"/>
      <c r="P301" s="113"/>
      <c r="Q301" s="123"/>
      <c r="R301" s="349"/>
      <c r="S301" s="61"/>
      <c r="U301" s="116"/>
      <c r="V301" s="117"/>
      <c r="W301" s="118"/>
      <c r="X301" s="116"/>
      <c r="Y301" s="117"/>
      <c r="Z301" s="118"/>
      <c r="AA301" s="124"/>
      <c r="AB301" s="125"/>
      <c r="AC301" s="151"/>
      <c r="AD301" s="117"/>
      <c r="AE301" s="117"/>
      <c r="AF301" s="126"/>
    </row>
    <row r="302" spans="1:32" ht="12.75" hidden="1" customHeight="1" x14ac:dyDescent="0.25">
      <c r="A302" s="59"/>
      <c r="B302" s="111"/>
      <c r="C302" s="152"/>
      <c r="D302" s="113"/>
      <c r="E302" s="123"/>
      <c r="F302" s="154"/>
      <c r="G302" s="152"/>
      <c r="H302" s="155"/>
      <c r="I302" s="123"/>
      <c r="J302" s="154"/>
      <c r="K302" s="152"/>
      <c r="L302" s="155"/>
      <c r="M302" s="123"/>
      <c r="N302" s="154"/>
      <c r="O302" s="152"/>
      <c r="P302" s="155"/>
      <c r="Q302" s="123"/>
      <c r="R302" s="154"/>
      <c r="S302" s="61"/>
      <c r="U302" s="143"/>
      <c r="V302" s="117"/>
      <c r="W302" s="118"/>
      <c r="X302" s="143"/>
      <c r="Y302" s="117"/>
      <c r="Z302" s="118"/>
      <c r="AA302" s="124"/>
      <c r="AB302" s="125"/>
      <c r="AC302" s="151"/>
      <c r="AD302" s="117"/>
      <c r="AE302" s="117"/>
      <c r="AF302" s="126">
        <f t="shared" ref="AF302:AF311" si="14">B302</f>
        <v>0</v>
      </c>
    </row>
    <row r="303" spans="1:32" ht="12.75" hidden="1" customHeight="1" x14ac:dyDescent="0.25">
      <c r="A303" s="59"/>
      <c r="B303" s="111"/>
      <c r="C303" s="152"/>
      <c r="D303" s="156"/>
      <c r="E303" s="153"/>
      <c r="F303" s="154"/>
      <c r="G303" s="152"/>
      <c r="H303" s="157"/>
      <c r="I303" s="153"/>
      <c r="J303" s="154"/>
      <c r="K303" s="152"/>
      <c r="L303" s="157"/>
      <c r="M303" s="153"/>
      <c r="N303" s="154"/>
      <c r="O303" s="152"/>
      <c r="P303" s="155"/>
      <c r="Q303" s="123"/>
      <c r="R303" s="154"/>
      <c r="S303" s="61"/>
      <c r="U303" s="143"/>
      <c r="V303" s="117"/>
      <c r="W303" s="118"/>
      <c r="X303" s="143"/>
      <c r="Y303" s="117"/>
      <c r="Z303" s="118"/>
      <c r="AA303" s="124"/>
      <c r="AB303" s="125"/>
      <c r="AC303" s="151"/>
      <c r="AD303" s="117"/>
      <c r="AE303" s="117"/>
      <c r="AF303" s="126">
        <f t="shared" si="14"/>
        <v>0</v>
      </c>
    </row>
    <row r="304" spans="1:32" ht="12.75" hidden="1" customHeight="1" x14ac:dyDescent="0.25">
      <c r="A304" s="59"/>
      <c r="B304" s="111"/>
      <c r="C304" s="152"/>
      <c r="D304" s="156"/>
      <c r="E304" s="153"/>
      <c r="F304" s="154"/>
      <c r="G304" s="152"/>
      <c r="H304" s="157"/>
      <c r="I304" s="153"/>
      <c r="J304" s="154"/>
      <c r="K304" s="152"/>
      <c r="L304" s="157"/>
      <c r="M304" s="153"/>
      <c r="N304" s="154"/>
      <c r="O304" s="152"/>
      <c r="P304" s="157"/>
      <c r="Q304" s="153"/>
      <c r="R304" s="154"/>
      <c r="S304" s="61"/>
      <c r="U304" s="143"/>
      <c r="V304" s="117"/>
      <c r="W304" s="118"/>
      <c r="X304" s="143"/>
      <c r="Y304" s="117"/>
      <c r="Z304" s="118"/>
      <c r="AA304" s="124"/>
      <c r="AB304" s="125"/>
      <c r="AC304" s="151"/>
      <c r="AD304" s="117"/>
      <c r="AE304" s="117"/>
      <c r="AF304" s="126">
        <f t="shared" si="14"/>
        <v>0</v>
      </c>
    </row>
    <row r="305" spans="1:32" ht="12.75" hidden="1" customHeight="1" x14ac:dyDescent="0.25">
      <c r="A305" s="59"/>
      <c r="B305" s="111"/>
      <c r="C305" s="152"/>
      <c r="D305" s="156"/>
      <c r="E305" s="153"/>
      <c r="F305" s="154"/>
      <c r="G305" s="152"/>
      <c r="H305" s="157"/>
      <c r="I305" s="153"/>
      <c r="J305" s="154"/>
      <c r="K305" s="152"/>
      <c r="L305" s="157"/>
      <c r="M305" s="153"/>
      <c r="N305" s="154"/>
      <c r="O305" s="152"/>
      <c r="P305" s="157"/>
      <c r="Q305" s="153"/>
      <c r="R305" s="154"/>
      <c r="S305" s="61"/>
      <c r="U305" s="143"/>
      <c r="V305" s="117"/>
      <c r="W305" s="118"/>
      <c r="X305" s="143"/>
      <c r="Y305" s="117"/>
      <c r="Z305" s="118"/>
      <c r="AA305" s="124"/>
      <c r="AB305" s="125"/>
      <c r="AC305" s="151"/>
      <c r="AD305" s="117"/>
      <c r="AE305" s="117"/>
      <c r="AF305" s="126">
        <f t="shared" si="14"/>
        <v>0</v>
      </c>
    </row>
    <row r="306" spans="1:32" ht="12.75" hidden="1" customHeight="1" x14ac:dyDescent="0.25">
      <c r="A306" s="59"/>
      <c r="B306" s="111"/>
      <c r="C306" s="152"/>
      <c r="D306" s="156"/>
      <c r="E306" s="153"/>
      <c r="F306" s="154"/>
      <c r="G306" s="152"/>
      <c r="H306" s="157"/>
      <c r="I306" s="153"/>
      <c r="J306" s="154"/>
      <c r="K306" s="152"/>
      <c r="L306" s="157"/>
      <c r="M306" s="153"/>
      <c r="N306" s="154"/>
      <c r="O306" s="152"/>
      <c r="P306" s="157"/>
      <c r="Q306" s="153"/>
      <c r="R306" s="154"/>
      <c r="S306" s="61"/>
      <c r="U306" s="143"/>
      <c r="V306" s="117"/>
      <c r="W306" s="118"/>
      <c r="X306" s="143"/>
      <c r="Y306" s="117"/>
      <c r="Z306" s="118"/>
      <c r="AA306" s="124"/>
      <c r="AB306" s="125"/>
      <c r="AC306" s="151"/>
      <c r="AD306" s="117"/>
      <c r="AE306" s="117"/>
      <c r="AF306" s="126">
        <f t="shared" si="14"/>
        <v>0</v>
      </c>
    </row>
    <row r="307" spans="1:32" ht="12.75" hidden="1" customHeight="1" x14ac:dyDescent="0.25">
      <c r="A307" s="59"/>
      <c r="B307" s="111"/>
      <c r="C307" s="152"/>
      <c r="D307" s="156"/>
      <c r="E307" s="153"/>
      <c r="F307" s="154"/>
      <c r="G307" s="152"/>
      <c r="H307" s="157"/>
      <c r="I307" s="153"/>
      <c r="J307" s="154"/>
      <c r="K307" s="152"/>
      <c r="L307" s="157"/>
      <c r="M307" s="153"/>
      <c r="N307" s="154"/>
      <c r="O307" s="152"/>
      <c r="P307" s="157"/>
      <c r="Q307" s="153"/>
      <c r="R307" s="154"/>
      <c r="S307" s="61"/>
      <c r="U307" s="143"/>
      <c r="V307" s="117"/>
      <c r="W307" s="118"/>
      <c r="X307" s="143"/>
      <c r="Y307" s="117"/>
      <c r="Z307" s="118"/>
      <c r="AA307" s="124"/>
      <c r="AB307" s="125"/>
      <c r="AC307" s="151"/>
      <c r="AD307" s="117"/>
      <c r="AE307" s="117"/>
      <c r="AF307" s="126">
        <f t="shared" si="14"/>
        <v>0</v>
      </c>
    </row>
    <row r="308" spans="1:32" ht="12.75" hidden="1" customHeight="1" x14ac:dyDescent="0.25">
      <c r="A308" s="59"/>
      <c r="B308" s="111"/>
      <c r="C308" s="152"/>
      <c r="D308" s="156"/>
      <c r="E308" s="153"/>
      <c r="F308" s="154"/>
      <c r="G308" s="152"/>
      <c r="H308" s="157"/>
      <c r="I308" s="153"/>
      <c r="J308" s="154"/>
      <c r="K308" s="152"/>
      <c r="L308" s="157"/>
      <c r="M308" s="153"/>
      <c r="N308" s="154"/>
      <c r="O308" s="152"/>
      <c r="P308" s="157"/>
      <c r="Q308" s="153"/>
      <c r="R308" s="154"/>
      <c r="S308" s="61"/>
      <c r="U308" s="143"/>
      <c r="V308" s="117"/>
      <c r="W308" s="118"/>
      <c r="X308" s="143"/>
      <c r="Y308" s="117"/>
      <c r="Z308" s="118"/>
      <c r="AA308" s="124"/>
      <c r="AB308" s="125"/>
      <c r="AC308" s="151"/>
      <c r="AD308" s="117"/>
      <c r="AE308" s="117"/>
      <c r="AF308" s="126">
        <f t="shared" si="14"/>
        <v>0</v>
      </c>
    </row>
    <row r="309" spans="1:32" ht="12.75" hidden="1" customHeight="1" x14ac:dyDescent="0.25">
      <c r="A309" s="59"/>
      <c r="B309" s="111"/>
      <c r="C309" s="152"/>
      <c r="D309" s="156"/>
      <c r="E309" s="153"/>
      <c r="F309" s="154"/>
      <c r="G309" s="152"/>
      <c r="H309" s="157"/>
      <c r="I309" s="153"/>
      <c r="J309" s="154"/>
      <c r="K309" s="152"/>
      <c r="L309" s="157"/>
      <c r="M309" s="153"/>
      <c r="N309" s="154"/>
      <c r="O309" s="152"/>
      <c r="P309" s="157"/>
      <c r="Q309" s="153"/>
      <c r="R309" s="154"/>
      <c r="S309" s="61"/>
      <c r="U309" s="143"/>
      <c r="V309" s="117"/>
      <c r="W309" s="118"/>
      <c r="X309" s="143"/>
      <c r="Y309" s="117"/>
      <c r="Z309" s="118"/>
      <c r="AA309" s="124"/>
      <c r="AB309" s="125"/>
      <c r="AC309" s="151"/>
      <c r="AD309" s="117"/>
      <c r="AE309" s="117"/>
      <c r="AF309" s="126">
        <f t="shared" si="14"/>
        <v>0</v>
      </c>
    </row>
    <row r="310" spans="1:32" ht="12.75" hidden="1" customHeight="1" x14ac:dyDescent="0.25">
      <c r="A310" s="59"/>
      <c r="B310" s="111"/>
      <c r="C310" s="152"/>
      <c r="D310" s="156"/>
      <c r="E310" s="153"/>
      <c r="F310" s="154"/>
      <c r="G310" s="152"/>
      <c r="H310" s="157"/>
      <c r="I310" s="153"/>
      <c r="J310" s="154"/>
      <c r="K310" s="152"/>
      <c r="L310" s="157"/>
      <c r="M310" s="153"/>
      <c r="N310" s="154"/>
      <c r="O310" s="152"/>
      <c r="P310" s="157"/>
      <c r="Q310" s="153"/>
      <c r="R310" s="154"/>
      <c r="S310" s="61"/>
      <c r="U310" s="143"/>
      <c r="V310" s="117"/>
      <c r="W310" s="118"/>
      <c r="X310" s="143"/>
      <c r="Y310" s="117"/>
      <c r="Z310" s="118"/>
      <c r="AA310" s="124"/>
      <c r="AB310" s="125"/>
      <c r="AC310" s="151"/>
      <c r="AD310" s="117"/>
      <c r="AE310" s="117"/>
      <c r="AF310" s="126">
        <f t="shared" si="14"/>
        <v>0</v>
      </c>
    </row>
    <row r="311" spans="1:32" ht="13" hidden="1" thickBot="1" x14ac:dyDescent="0.3">
      <c r="A311" s="59"/>
      <c r="B311" s="111"/>
      <c r="C311" s="152"/>
      <c r="D311" s="156"/>
      <c r="E311" s="153"/>
      <c r="F311" s="154"/>
      <c r="G311" s="152"/>
      <c r="H311" s="157"/>
      <c r="I311" s="153"/>
      <c r="J311" s="154"/>
      <c r="K311" s="152"/>
      <c r="L311" s="157"/>
      <c r="M311" s="153"/>
      <c r="N311" s="154"/>
      <c r="O311" s="152"/>
      <c r="P311" s="157"/>
      <c r="Q311" s="153"/>
      <c r="R311" s="154"/>
      <c r="S311" s="61"/>
      <c r="U311" s="158"/>
      <c r="V311" s="159"/>
      <c r="W311" s="160"/>
      <c r="X311" s="158"/>
      <c r="Y311" s="161"/>
      <c r="Z311" s="118"/>
      <c r="AA311" s="162"/>
      <c r="AB311" s="161"/>
      <c r="AC311" s="163"/>
      <c r="AD311" s="161"/>
      <c r="AE311" s="163"/>
      <c r="AF311" s="164">
        <f t="shared" si="14"/>
        <v>0</v>
      </c>
    </row>
    <row r="312" spans="1:32" ht="13" hidden="1" x14ac:dyDescent="0.25">
      <c r="A312" s="165"/>
      <c r="B312" s="166"/>
      <c r="C312" s="167"/>
      <c r="D312" s="168"/>
      <c r="E312" s="169"/>
      <c r="F312" s="168"/>
      <c r="G312" s="169"/>
      <c r="H312" s="168"/>
      <c r="I312" s="169"/>
      <c r="J312" s="168"/>
      <c r="K312" s="169"/>
      <c r="L312" s="168"/>
      <c r="M312" s="169"/>
      <c r="N312" s="168"/>
      <c r="O312" s="169"/>
      <c r="P312" s="168"/>
      <c r="Q312" s="169"/>
      <c r="R312" s="168"/>
      <c r="S312" s="170"/>
      <c r="U312" s="171"/>
      <c r="X312" s="171"/>
      <c r="AA312" s="171"/>
      <c r="AB312" s="171"/>
    </row>
    <row r="313" spans="1:32" ht="13" hidden="1" x14ac:dyDescent="0.25">
      <c r="A313" s="165"/>
      <c r="B313" s="166"/>
      <c r="C313" s="167"/>
      <c r="D313" s="168"/>
      <c r="E313" s="169"/>
      <c r="F313" s="168"/>
      <c r="G313" s="169"/>
      <c r="H313" s="168"/>
      <c r="I313" s="169"/>
      <c r="J313" s="168"/>
      <c r="K313" s="169"/>
      <c r="L313" s="168"/>
      <c r="M313" s="169"/>
      <c r="N313" s="168"/>
      <c r="O313" s="169"/>
      <c r="P313" s="168"/>
      <c r="Q313" s="169"/>
      <c r="R313" s="168"/>
      <c r="S313" s="170"/>
      <c r="U313" s="171"/>
      <c r="X313" s="171"/>
      <c r="AA313" s="171"/>
      <c r="AB313" s="171"/>
    </row>
    <row r="314" spans="1:32" ht="13" hidden="1" x14ac:dyDescent="0.25">
      <c r="A314" s="165"/>
      <c r="B314" s="166"/>
      <c r="C314" s="167"/>
      <c r="D314" s="168"/>
      <c r="E314" s="169"/>
      <c r="F314" s="168"/>
      <c r="G314" s="169"/>
      <c r="H314" s="168"/>
      <c r="I314" s="169"/>
      <c r="J314" s="168"/>
      <c r="K314" s="169"/>
      <c r="L314" s="168"/>
      <c r="M314" s="169"/>
      <c r="N314" s="168"/>
      <c r="O314" s="169"/>
      <c r="P314" s="168"/>
      <c r="Q314" s="169"/>
      <c r="R314" s="168"/>
      <c r="S314" s="170"/>
      <c r="U314" s="171"/>
      <c r="X314" s="171"/>
      <c r="AA314" s="171"/>
      <c r="AB314" s="171"/>
    </row>
    <row r="315" spans="1:32" ht="13" hidden="1" x14ac:dyDescent="0.25">
      <c r="A315" s="165"/>
      <c r="B315" s="166" t="s">
        <v>605</v>
      </c>
      <c r="C315" s="167"/>
      <c r="D315" s="168"/>
      <c r="E315" s="169"/>
      <c r="F315" s="168"/>
      <c r="G315" s="169"/>
      <c r="H315" s="168"/>
      <c r="I315" s="169"/>
      <c r="J315" s="168"/>
      <c r="K315" s="169"/>
      <c r="L315" s="168"/>
      <c r="M315" s="169"/>
      <c r="N315" s="168"/>
      <c r="O315" s="169"/>
      <c r="P315" s="168"/>
      <c r="Q315" s="169"/>
      <c r="R315" s="168"/>
      <c r="S315" s="170"/>
      <c r="U315" s="171"/>
      <c r="X315" s="171"/>
      <c r="AA315" s="171"/>
      <c r="AB315" s="171"/>
    </row>
    <row r="316" spans="1:32" ht="13" hidden="1" x14ac:dyDescent="0.25">
      <c r="A316" s="165"/>
      <c r="B316" s="172" t="s">
        <v>606</v>
      </c>
      <c r="C316" s="167"/>
      <c r="D316" s="168"/>
      <c r="E316" s="169"/>
      <c r="F316" s="168"/>
      <c r="G316" s="169"/>
      <c r="H316" s="168"/>
      <c r="I316" s="169"/>
      <c r="J316" s="168"/>
      <c r="K316" s="169"/>
      <c r="L316" s="168"/>
      <c r="M316" s="169"/>
      <c r="N316" s="168"/>
      <c r="O316" s="169"/>
      <c r="P316" s="168"/>
      <c r="Q316" s="169"/>
      <c r="R316" s="168"/>
      <c r="S316" s="170"/>
      <c r="U316" s="171"/>
      <c r="X316" s="171"/>
      <c r="AA316" s="171"/>
      <c r="AB316" s="171"/>
    </row>
    <row r="317" spans="1:32" ht="13" hidden="1" x14ac:dyDescent="0.25">
      <c r="A317" s="165"/>
      <c r="B317" s="172" t="s">
        <v>607</v>
      </c>
      <c r="C317" s="167"/>
      <c r="D317" s="168"/>
      <c r="E317" s="169"/>
      <c r="F317" s="168"/>
      <c r="G317" s="169"/>
      <c r="H317" s="168"/>
      <c r="I317" s="169"/>
      <c r="J317" s="168"/>
      <c r="K317" s="169"/>
      <c r="L317" s="168"/>
      <c r="M317" s="169"/>
      <c r="N317" s="168"/>
      <c r="O317" s="169"/>
      <c r="P317" s="168"/>
      <c r="Q317" s="169"/>
      <c r="R317" s="168"/>
      <c r="S317" s="170"/>
      <c r="U317" s="171"/>
      <c r="X317" s="171"/>
      <c r="AA317" s="171"/>
      <c r="AB317" s="171"/>
    </row>
    <row r="318" spans="1:32" ht="13" hidden="1" x14ac:dyDescent="0.25">
      <c r="A318" s="165"/>
      <c r="B318" s="172"/>
      <c r="C318" s="167"/>
      <c r="D318" s="168"/>
      <c r="E318" s="169"/>
      <c r="F318" s="168"/>
      <c r="G318" s="169"/>
      <c r="H318" s="168"/>
      <c r="I318" s="169"/>
      <c r="J318" s="168"/>
      <c r="K318" s="169"/>
      <c r="L318" s="168"/>
      <c r="M318" s="169"/>
      <c r="N318" s="168"/>
      <c r="O318" s="169"/>
      <c r="P318" s="168"/>
      <c r="Q318" s="169"/>
      <c r="R318" s="168"/>
      <c r="S318" s="170"/>
      <c r="U318" s="171"/>
      <c r="X318" s="171"/>
      <c r="AA318" s="171"/>
      <c r="AB318" s="171"/>
    </row>
    <row r="319" spans="1:32" ht="13" hidden="1" x14ac:dyDescent="0.25">
      <c r="A319" s="165"/>
      <c r="B319" s="172"/>
      <c r="C319" s="167"/>
      <c r="D319" s="168"/>
      <c r="E319" s="169"/>
      <c r="F319" s="168"/>
      <c r="G319" s="169"/>
      <c r="H319" s="168"/>
      <c r="I319" s="169"/>
      <c r="J319" s="168"/>
      <c r="K319" s="169"/>
      <c r="L319" s="168"/>
      <c r="M319" s="169"/>
      <c r="N319" s="168"/>
      <c r="O319" s="169"/>
      <c r="P319" s="168"/>
      <c r="Q319" s="169"/>
      <c r="R319" s="168"/>
      <c r="S319" s="170"/>
      <c r="U319" s="171"/>
      <c r="X319" s="171"/>
      <c r="AA319" s="171"/>
      <c r="AB319" s="171"/>
    </row>
    <row r="320" spans="1:32" ht="13" hidden="1" x14ac:dyDescent="0.25">
      <c r="A320" s="165"/>
      <c r="B320" s="172"/>
      <c r="C320" s="167"/>
      <c r="D320" s="168"/>
      <c r="E320" s="169"/>
      <c r="F320" s="168"/>
      <c r="G320" s="169"/>
      <c r="H320" s="168"/>
      <c r="I320" s="169"/>
      <c r="J320" s="168"/>
      <c r="K320" s="169"/>
      <c r="L320" s="168"/>
      <c r="M320" s="169"/>
      <c r="N320" s="168"/>
      <c r="O320" s="169"/>
      <c r="P320" s="168"/>
      <c r="Q320" s="169"/>
      <c r="R320" s="168"/>
      <c r="S320" s="170"/>
      <c r="U320" s="171"/>
      <c r="X320" s="171"/>
      <c r="AA320" s="171"/>
      <c r="AB320" s="171"/>
    </row>
    <row r="321" spans="1:32" ht="13" hidden="1" x14ac:dyDescent="0.25">
      <c r="A321" s="165"/>
      <c r="B321" s="172"/>
      <c r="C321" s="167"/>
      <c r="D321" s="168"/>
      <c r="E321" s="169"/>
      <c r="F321" s="168"/>
      <c r="G321" s="169"/>
      <c r="H321" s="168"/>
      <c r="I321" s="169"/>
      <c r="J321" s="168"/>
      <c r="K321" s="169"/>
      <c r="L321" s="168"/>
      <c r="M321" s="169"/>
      <c r="N321" s="168"/>
      <c r="O321" s="169"/>
      <c r="P321" s="168"/>
      <c r="Q321" s="169"/>
      <c r="R321" s="168"/>
      <c r="S321" s="170"/>
      <c r="U321" s="171"/>
      <c r="X321" s="171"/>
      <c r="AA321" s="171"/>
      <c r="AB321" s="171"/>
    </row>
    <row r="322" spans="1:32" ht="13" hidden="1" x14ac:dyDescent="0.25">
      <c r="A322" s="165"/>
      <c r="B322" s="172"/>
      <c r="C322" s="167"/>
      <c r="D322" s="168"/>
      <c r="E322" s="169"/>
      <c r="F322" s="168"/>
      <c r="G322" s="169"/>
      <c r="H322" s="168"/>
      <c r="I322" s="169"/>
      <c r="J322" s="168"/>
      <c r="K322" s="169"/>
      <c r="L322" s="168"/>
      <c r="M322" s="169"/>
      <c r="N322" s="168"/>
      <c r="O322" s="169"/>
      <c r="P322" s="168"/>
      <c r="Q322" s="169"/>
      <c r="R322" s="168"/>
      <c r="S322" s="170"/>
      <c r="U322" s="171"/>
      <c r="X322" s="171"/>
      <c r="AA322" s="171"/>
      <c r="AB322" s="171"/>
    </row>
    <row r="323" spans="1:32" ht="13" hidden="1" x14ac:dyDescent="0.25">
      <c r="A323" s="165"/>
      <c r="B323" s="172"/>
      <c r="C323" s="167"/>
      <c r="D323" s="168"/>
      <c r="E323" s="169"/>
      <c r="F323" s="168"/>
      <c r="G323" s="169"/>
      <c r="H323" s="168"/>
      <c r="I323" s="169"/>
      <c r="J323" s="168"/>
      <c r="K323" s="169"/>
      <c r="L323" s="168"/>
      <c r="M323" s="169"/>
      <c r="N323" s="168"/>
      <c r="O323" s="169"/>
      <c r="P323" s="168"/>
      <c r="Q323" s="169"/>
      <c r="R323" s="168"/>
      <c r="S323" s="170"/>
      <c r="U323" s="171"/>
      <c r="X323" s="171"/>
      <c r="AA323" s="171"/>
      <c r="AB323" s="171"/>
    </row>
    <row r="324" spans="1:32" ht="13" hidden="1" x14ac:dyDescent="0.25">
      <c r="A324" s="165"/>
      <c r="B324" s="172"/>
      <c r="C324" s="167"/>
      <c r="D324" s="168"/>
      <c r="E324" s="169"/>
      <c r="F324" s="168"/>
      <c r="G324" s="169"/>
      <c r="H324" s="168"/>
      <c r="I324" s="169"/>
      <c r="J324" s="168"/>
      <c r="K324" s="169"/>
      <c r="L324" s="168"/>
      <c r="M324" s="169"/>
      <c r="N324" s="168"/>
      <c r="O324" s="169"/>
      <c r="P324" s="168"/>
      <c r="Q324" s="169"/>
      <c r="R324" s="168"/>
      <c r="S324" s="170"/>
      <c r="U324" s="171"/>
      <c r="X324" s="171"/>
      <c r="AA324" s="171"/>
      <c r="AB324" s="171"/>
    </row>
    <row r="325" spans="1:32" ht="13" hidden="1" x14ac:dyDescent="0.25">
      <c r="A325" s="165"/>
      <c r="B325" s="172"/>
      <c r="C325" s="167"/>
      <c r="D325" s="168"/>
      <c r="E325" s="169"/>
      <c r="F325" s="168"/>
      <c r="G325" s="169"/>
      <c r="H325" s="168"/>
      <c r="I325" s="169"/>
      <c r="J325" s="168"/>
      <c r="K325" s="169"/>
      <c r="L325" s="168"/>
      <c r="M325" s="169"/>
      <c r="N325" s="168"/>
      <c r="O325" s="169"/>
      <c r="P325" s="168"/>
      <c r="Q325" s="169"/>
      <c r="R325" s="168"/>
      <c r="S325" s="170"/>
      <c r="U325" s="171"/>
      <c r="X325" s="171"/>
      <c r="AA325" s="171"/>
      <c r="AB325" s="171"/>
    </row>
    <row r="326" spans="1:32" ht="13" hidden="1" x14ac:dyDescent="0.25">
      <c r="A326" s="165"/>
      <c r="B326" s="172"/>
      <c r="C326" s="167"/>
      <c r="D326" s="168"/>
      <c r="E326" s="169"/>
      <c r="F326" s="168"/>
      <c r="G326" s="169"/>
      <c r="H326" s="168"/>
      <c r="I326" s="169"/>
      <c r="J326" s="168"/>
      <c r="K326" s="169"/>
      <c r="L326" s="168"/>
      <c r="M326" s="169"/>
      <c r="N326" s="168"/>
      <c r="O326" s="169"/>
      <c r="P326" s="168"/>
      <c r="Q326" s="169"/>
      <c r="R326" s="168"/>
      <c r="S326" s="170"/>
      <c r="U326" s="171"/>
      <c r="X326" s="171"/>
      <c r="AA326" s="171"/>
      <c r="AB326" s="171"/>
    </row>
    <row r="327" spans="1:32" ht="13" hidden="1" x14ac:dyDescent="0.25">
      <c r="A327" s="165"/>
      <c r="B327" s="172"/>
      <c r="C327" s="167"/>
      <c r="D327" s="168"/>
      <c r="E327" s="169"/>
      <c r="F327" s="168"/>
      <c r="G327" s="169"/>
      <c r="H327" s="168"/>
      <c r="I327" s="169"/>
      <c r="J327" s="168"/>
      <c r="K327" s="169"/>
      <c r="L327" s="168"/>
      <c r="M327" s="169"/>
      <c r="N327" s="168"/>
      <c r="O327" s="169"/>
      <c r="P327" s="168"/>
      <c r="Q327" s="169"/>
      <c r="R327" s="168"/>
      <c r="S327" s="170"/>
      <c r="U327" s="171"/>
      <c r="X327" s="171"/>
      <c r="AA327" s="171"/>
      <c r="AB327" s="171"/>
    </row>
    <row r="328" spans="1:32" ht="13" hidden="1" x14ac:dyDescent="0.25">
      <c r="A328" s="165"/>
      <c r="B328" s="166"/>
      <c r="C328" s="167"/>
      <c r="D328" s="168"/>
      <c r="E328" s="169"/>
      <c r="F328" s="168"/>
      <c r="G328" s="169"/>
      <c r="H328" s="168"/>
      <c r="I328" s="169"/>
      <c r="J328" s="168"/>
      <c r="K328" s="169"/>
      <c r="L328" s="168"/>
      <c r="M328" s="169"/>
      <c r="N328" s="168"/>
      <c r="O328" s="169"/>
      <c r="P328" s="168"/>
      <c r="Q328" s="169"/>
      <c r="R328" s="168"/>
      <c r="S328" s="170"/>
    </row>
    <row r="329" spans="1:32" ht="13" hidden="1" x14ac:dyDescent="0.25">
      <c r="A329" s="165"/>
      <c r="B329" s="166"/>
      <c r="C329" s="167"/>
      <c r="D329" s="168"/>
      <c r="E329" s="169"/>
      <c r="F329" s="168"/>
      <c r="G329" s="169"/>
      <c r="H329" s="168"/>
      <c r="I329" s="169"/>
      <c r="J329" s="168"/>
      <c r="K329" s="169"/>
      <c r="L329" s="168"/>
      <c r="M329" s="169"/>
      <c r="N329" s="168"/>
      <c r="O329" s="169"/>
      <c r="P329" s="168"/>
      <c r="Q329" s="169"/>
      <c r="R329" s="168"/>
      <c r="S329" s="170"/>
    </row>
    <row r="330" spans="1:32" ht="13" hidden="1" x14ac:dyDescent="0.25">
      <c r="A330" s="165"/>
      <c r="B330" s="166"/>
      <c r="C330" s="169"/>
      <c r="D330" s="168"/>
      <c r="E330" s="169"/>
      <c r="F330" s="168"/>
      <c r="G330" s="169"/>
      <c r="H330" s="168"/>
      <c r="I330" s="169"/>
      <c r="J330" s="168"/>
      <c r="K330" s="169"/>
      <c r="L330" s="168"/>
      <c r="M330" s="169"/>
      <c r="N330" s="168"/>
      <c r="O330" s="169"/>
      <c r="P330" s="168"/>
      <c r="Q330" s="169"/>
      <c r="R330" s="168"/>
      <c r="S330" s="170"/>
    </row>
    <row r="331" spans="1:32" ht="13" hidden="1" x14ac:dyDescent="0.25">
      <c r="A331" s="165"/>
      <c r="B331" s="166"/>
      <c r="C331" s="169"/>
      <c r="D331" s="168"/>
      <c r="E331" s="169"/>
      <c r="F331" s="168"/>
      <c r="G331" s="169"/>
      <c r="H331" s="168"/>
      <c r="I331" s="169"/>
      <c r="J331" s="168"/>
      <c r="K331" s="169"/>
      <c r="L331" s="168"/>
      <c r="M331" s="169"/>
      <c r="N331" s="168"/>
      <c r="O331" s="169"/>
      <c r="P331" s="168"/>
      <c r="Q331" s="169"/>
      <c r="R331" s="168"/>
      <c r="S331" s="170"/>
    </row>
    <row r="332" spans="1:32" hidden="1" collapsed="1" x14ac:dyDescent="0.25">
      <c r="A332" s="59"/>
      <c r="B332" s="725" t="s">
        <v>608</v>
      </c>
      <c r="C332" s="726"/>
      <c r="D332" s="727"/>
      <c r="E332" s="727"/>
      <c r="F332" s="727"/>
      <c r="G332" s="727"/>
      <c r="H332" s="727"/>
      <c r="I332" s="727"/>
      <c r="J332" s="727"/>
      <c r="K332" s="727"/>
      <c r="L332" s="727"/>
      <c r="M332" s="727"/>
      <c r="N332" s="727"/>
      <c r="O332" s="130"/>
      <c r="P332" s="130"/>
      <c r="Q332" s="130"/>
      <c r="R332" s="131"/>
      <c r="S332" s="94"/>
      <c r="U332" s="145"/>
      <c r="V332" s="136"/>
      <c r="W332" s="134"/>
      <c r="X332" s="145"/>
      <c r="Y332" s="136"/>
      <c r="Z332" s="134"/>
      <c r="AA332" s="135"/>
      <c r="AB332" s="136"/>
      <c r="AC332" s="136"/>
      <c r="AD332" s="136"/>
      <c r="AE332" s="136"/>
      <c r="AF332" s="173" t="str">
        <f t="shared" ref="AF332:AF341" si="15">B332</f>
        <v>Intrinsically safe stub lines 1 (Ex)  -  Line capacitance max. 82nF, line inductance max. 2.3mH, line resistance max. 50 Ohm</v>
      </c>
    </row>
    <row r="333" spans="1:32" ht="27.75" hidden="1" customHeight="1" outlineLevel="1" x14ac:dyDescent="0.25">
      <c r="A333" s="59"/>
      <c r="B333" s="121" t="s">
        <v>609</v>
      </c>
      <c r="C333" s="174"/>
      <c r="D333" s="113"/>
      <c r="E333" s="175"/>
      <c r="F333" s="138"/>
      <c r="G333" s="174"/>
      <c r="H333" s="155"/>
      <c r="I333" s="175"/>
      <c r="J333" s="138"/>
      <c r="K333" s="174"/>
      <c r="L333" s="155"/>
      <c r="M333" s="175"/>
      <c r="N333" s="138"/>
      <c r="O333" s="174"/>
      <c r="P333" s="155"/>
      <c r="Q333" s="175"/>
      <c r="R333" s="138"/>
      <c r="S333" s="94"/>
      <c r="U333" s="145"/>
      <c r="V333" s="136"/>
      <c r="W333" s="134"/>
      <c r="X333" s="145"/>
      <c r="Y333" s="136"/>
      <c r="Z333" s="134"/>
      <c r="AA333" s="135"/>
      <c r="AB333" s="136"/>
      <c r="AC333" s="136"/>
      <c r="AD333" s="136"/>
      <c r="AE333" s="136"/>
      <c r="AF333" s="173" t="str">
        <f t="shared" si="15"/>
        <v>FDCL221-Ex - Line adaptor Ex</v>
      </c>
    </row>
    <row r="334" spans="1:32" hidden="1" outlineLevel="1" x14ac:dyDescent="0.25">
      <c r="A334" s="59"/>
      <c r="B334" s="121" t="s">
        <v>610</v>
      </c>
      <c r="C334" s="344">
        <v>0</v>
      </c>
      <c r="D334" s="113" t="s">
        <v>256</v>
      </c>
      <c r="E334" s="176">
        <v>0</v>
      </c>
      <c r="F334" s="138" t="s">
        <v>256</v>
      </c>
      <c r="G334" s="344">
        <v>0</v>
      </c>
      <c r="H334" s="155" t="s">
        <v>256</v>
      </c>
      <c r="I334" s="176">
        <v>0</v>
      </c>
      <c r="J334" s="138" t="s">
        <v>256</v>
      </c>
      <c r="K334" s="344">
        <v>0</v>
      </c>
      <c r="L334" s="155" t="s">
        <v>256</v>
      </c>
      <c r="M334" s="176">
        <v>0</v>
      </c>
      <c r="N334" s="138" t="s">
        <v>256</v>
      </c>
      <c r="O334" s="344">
        <v>0</v>
      </c>
      <c r="P334" s="155" t="s">
        <v>256</v>
      </c>
      <c r="Q334" s="176">
        <v>0</v>
      </c>
      <c r="R334" s="138" t="s">
        <v>256</v>
      </c>
      <c r="S334" s="94"/>
      <c r="U334" s="143">
        <f>V334+W334</f>
        <v>1.25</v>
      </c>
      <c r="V334" s="117">
        <v>1.25</v>
      </c>
      <c r="W334" s="118">
        <v>0</v>
      </c>
      <c r="X334" s="143">
        <f>Y334+Z334</f>
        <v>1.25</v>
      </c>
      <c r="Y334" s="117">
        <v>1.25</v>
      </c>
      <c r="Z334" s="118">
        <v>0</v>
      </c>
      <c r="AA334" s="124">
        <v>0</v>
      </c>
      <c r="AB334" s="125">
        <v>1</v>
      </c>
      <c r="AC334" s="125">
        <v>1</v>
      </c>
      <c r="AD334" s="117">
        <v>0</v>
      </c>
      <c r="AE334" s="117">
        <v>0</v>
      </c>
      <c r="AF334" s="126" t="str">
        <f t="shared" si="15"/>
        <v>OOH740-A9-Ex - Neural fire detector Ex</v>
      </c>
    </row>
    <row r="335" spans="1:32" hidden="1" outlineLevel="1" x14ac:dyDescent="0.25">
      <c r="A335" s="59"/>
      <c r="B335" s="121" t="s">
        <v>611</v>
      </c>
      <c r="C335" s="344">
        <v>0</v>
      </c>
      <c r="D335" s="113" t="s">
        <v>256</v>
      </c>
      <c r="E335" s="176">
        <v>0</v>
      </c>
      <c r="F335" s="138" t="s">
        <v>256</v>
      </c>
      <c r="G335" s="344">
        <v>0</v>
      </c>
      <c r="H335" s="155" t="s">
        <v>256</v>
      </c>
      <c r="I335" s="176">
        <v>0</v>
      </c>
      <c r="J335" s="138" t="s">
        <v>256</v>
      </c>
      <c r="K335" s="344">
        <v>0</v>
      </c>
      <c r="L335" s="155" t="s">
        <v>256</v>
      </c>
      <c r="M335" s="176">
        <v>0</v>
      </c>
      <c r="N335" s="138" t="s">
        <v>256</v>
      </c>
      <c r="O335" s="344">
        <v>0</v>
      </c>
      <c r="P335" s="155" t="s">
        <v>256</v>
      </c>
      <c r="Q335" s="176">
        <v>0</v>
      </c>
      <c r="R335" s="138" t="s">
        <v>256</v>
      </c>
      <c r="S335" s="94"/>
      <c r="U335" s="143">
        <f>V335+W335</f>
        <v>1.25</v>
      </c>
      <c r="V335" s="125">
        <v>1.25</v>
      </c>
      <c r="W335" s="118">
        <v>0</v>
      </c>
      <c r="X335" s="143">
        <f>Y335+Z335</f>
        <v>1.25</v>
      </c>
      <c r="Y335" s="125">
        <v>1.25</v>
      </c>
      <c r="Z335" s="118">
        <v>0</v>
      </c>
      <c r="AA335" s="124">
        <v>0</v>
      </c>
      <c r="AB335" s="125">
        <v>1</v>
      </c>
      <c r="AC335" s="125">
        <v>1</v>
      </c>
      <c r="AD335" s="125">
        <v>0</v>
      </c>
      <c r="AE335" s="125">
        <v>0</v>
      </c>
      <c r="AF335" s="126" t="str">
        <f t="shared" si="15"/>
        <v>FDM223-Ex - Manual call point Ex</v>
      </c>
    </row>
    <row r="336" spans="1:32" ht="12.75" hidden="1" customHeight="1" x14ac:dyDescent="0.25">
      <c r="A336" s="59"/>
      <c r="B336" s="111"/>
      <c r="C336" s="347"/>
      <c r="D336" s="113"/>
      <c r="E336" s="175"/>
      <c r="F336" s="154"/>
      <c r="G336" s="177"/>
      <c r="H336" s="155"/>
      <c r="I336" s="175"/>
      <c r="J336" s="154"/>
      <c r="K336" s="177"/>
      <c r="L336" s="155"/>
      <c r="M336" s="175"/>
      <c r="N336" s="154"/>
      <c r="O336" s="177"/>
      <c r="P336" s="155"/>
      <c r="Q336" s="175"/>
      <c r="R336" s="154"/>
      <c r="S336" s="61"/>
      <c r="U336" s="116"/>
      <c r="V336" s="125"/>
      <c r="W336" s="118"/>
      <c r="X336" s="116"/>
      <c r="Y336" s="125"/>
      <c r="Z336" s="118"/>
      <c r="AA336" s="119"/>
      <c r="AB336" s="117"/>
      <c r="AC336" s="124"/>
      <c r="AD336" s="125"/>
      <c r="AE336" s="125"/>
      <c r="AF336" s="126">
        <f t="shared" si="15"/>
        <v>0</v>
      </c>
    </row>
    <row r="337" spans="1:32" ht="12.75" hidden="1" customHeight="1" x14ac:dyDescent="0.25">
      <c r="A337" s="59"/>
      <c r="B337" s="111"/>
      <c r="C337" s="177"/>
      <c r="D337" s="156"/>
      <c r="E337" s="178"/>
      <c r="F337" s="154"/>
      <c r="G337" s="177"/>
      <c r="H337" s="157"/>
      <c r="I337" s="178"/>
      <c r="J337" s="154"/>
      <c r="K337" s="177"/>
      <c r="L337" s="157"/>
      <c r="M337" s="178"/>
      <c r="N337" s="154"/>
      <c r="O337" s="177"/>
      <c r="P337" s="157"/>
      <c r="Q337" s="178"/>
      <c r="R337" s="154"/>
      <c r="S337" s="61"/>
      <c r="U337" s="116"/>
      <c r="V337" s="125"/>
      <c r="W337" s="118"/>
      <c r="X337" s="116"/>
      <c r="Y337" s="125"/>
      <c r="Z337" s="118"/>
      <c r="AA337" s="119"/>
      <c r="AB337" s="117"/>
      <c r="AC337" s="124"/>
      <c r="AD337" s="125"/>
      <c r="AE337" s="125"/>
      <c r="AF337" s="126">
        <f t="shared" si="15"/>
        <v>0</v>
      </c>
    </row>
    <row r="338" spans="1:32" ht="12.75" hidden="1" customHeight="1" x14ac:dyDescent="0.25">
      <c r="A338" s="59"/>
      <c r="B338" s="111"/>
      <c r="C338" s="177"/>
      <c r="D338" s="156"/>
      <c r="E338" s="178"/>
      <c r="F338" s="154"/>
      <c r="G338" s="177"/>
      <c r="H338" s="157"/>
      <c r="I338" s="178"/>
      <c r="J338" s="154"/>
      <c r="K338" s="177"/>
      <c r="L338" s="157"/>
      <c r="M338" s="178"/>
      <c r="N338" s="154"/>
      <c r="O338" s="177"/>
      <c r="P338" s="157"/>
      <c r="Q338" s="178"/>
      <c r="R338" s="154"/>
      <c r="S338" s="61"/>
      <c r="U338" s="143"/>
      <c r="V338" s="125"/>
      <c r="W338" s="118"/>
      <c r="X338" s="143"/>
      <c r="Y338" s="125"/>
      <c r="Z338" s="118"/>
      <c r="AA338" s="124"/>
      <c r="AB338" s="125"/>
      <c r="AC338" s="151"/>
      <c r="AD338" s="125"/>
      <c r="AE338" s="125"/>
      <c r="AF338" s="126">
        <f t="shared" si="15"/>
        <v>0</v>
      </c>
    </row>
    <row r="339" spans="1:32" ht="12.75" hidden="1" customHeight="1" x14ac:dyDescent="0.25">
      <c r="A339" s="59"/>
      <c r="B339" s="111"/>
      <c r="C339" s="177"/>
      <c r="D339" s="156"/>
      <c r="E339" s="178"/>
      <c r="F339" s="154"/>
      <c r="G339" s="177"/>
      <c r="H339" s="157"/>
      <c r="I339" s="178"/>
      <c r="J339" s="154"/>
      <c r="K339" s="177"/>
      <c r="L339" s="157"/>
      <c r="M339" s="178"/>
      <c r="N339" s="154"/>
      <c r="O339" s="177"/>
      <c r="P339" s="157"/>
      <c r="Q339" s="178"/>
      <c r="R339" s="154"/>
      <c r="S339" s="61"/>
      <c r="U339" s="143"/>
      <c r="V339" s="125"/>
      <c r="W339" s="118"/>
      <c r="X339" s="143"/>
      <c r="Y339" s="125"/>
      <c r="Z339" s="118"/>
      <c r="AA339" s="124"/>
      <c r="AB339" s="125"/>
      <c r="AC339" s="151"/>
      <c r="AD339" s="125"/>
      <c r="AE339" s="125"/>
      <c r="AF339" s="126">
        <f t="shared" si="15"/>
        <v>0</v>
      </c>
    </row>
    <row r="340" spans="1:32" ht="12.75" hidden="1" customHeight="1" x14ac:dyDescent="0.25">
      <c r="A340" s="59"/>
      <c r="B340" s="111"/>
      <c r="C340" s="177"/>
      <c r="D340" s="156"/>
      <c r="E340" s="178"/>
      <c r="F340" s="154"/>
      <c r="G340" s="177"/>
      <c r="H340" s="157"/>
      <c r="I340" s="178"/>
      <c r="J340" s="154"/>
      <c r="K340" s="177"/>
      <c r="L340" s="157"/>
      <c r="M340" s="178"/>
      <c r="N340" s="154"/>
      <c r="O340" s="177"/>
      <c r="P340" s="157"/>
      <c r="Q340" s="178"/>
      <c r="R340" s="154"/>
      <c r="S340" s="61"/>
      <c r="U340" s="143"/>
      <c r="V340" s="125"/>
      <c r="W340" s="118"/>
      <c r="X340" s="143"/>
      <c r="Y340" s="125"/>
      <c r="Z340" s="118"/>
      <c r="AA340" s="124"/>
      <c r="AB340" s="125"/>
      <c r="AC340" s="151"/>
      <c r="AD340" s="125"/>
      <c r="AE340" s="125"/>
      <c r="AF340" s="126">
        <f t="shared" si="15"/>
        <v>0</v>
      </c>
    </row>
    <row r="341" spans="1:32" ht="12.75" hidden="1" customHeight="1" x14ac:dyDescent="0.25">
      <c r="A341" s="59"/>
      <c r="B341" s="111"/>
      <c r="C341" s="177"/>
      <c r="D341" s="156"/>
      <c r="E341" s="178"/>
      <c r="F341" s="154"/>
      <c r="G341" s="177"/>
      <c r="H341" s="157"/>
      <c r="I341" s="178"/>
      <c r="J341" s="154"/>
      <c r="K341" s="177"/>
      <c r="L341" s="157"/>
      <c r="M341" s="178"/>
      <c r="N341" s="154"/>
      <c r="O341" s="177"/>
      <c r="P341" s="157"/>
      <c r="Q341" s="178"/>
      <c r="R341" s="154"/>
      <c r="S341" s="61"/>
      <c r="U341" s="143"/>
      <c r="V341" s="125"/>
      <c r="W341" s="118"/>
      <c r="X341" s="143"/>
      <c r="Y341" s="125"/>
      <c r="Z341" s="118"/>
      <c r="AA341" s="124"/>
      <c r="AB341" s="125"/>
      <c r="AC341" s="124"/>
      <c r="AD341" s="125"/>
      <c r="AE341" s="125"/>
      <c r="AF341" s="126">
        <f t="shared" si="15"/>
        <v>0</v>
      </c>
    </row>
    <row r="342" spans="1:32" hidden="1" x14ac:dyDescent="0.25">
      <c r="A342" s="165"/>
      <c r="B342" s="64" t="s">
        <v>612</v>
      </c>
      <c r="C342" s="728" t="b">
        <v>0</v>
      </c>
      <c r="D342" s="728"/>
      <c r="E342" s="728" t="b">
        <v>0</v>
      </c>
      <c r="F342" s="728"/>
      <c r="G342" s="728" t="b">
        <v>0</v>
      </c>
      <c r="H342" s="728"/>
      <c r="I342" s="728" t="b">
        <v>0</v>
      </c>
      <c r="J342" s="728"/>
      <c r="K342" s="728" t="b">
        <v>0</v>
      </c>
      <c r="L342" s="728"/>
      <c r="M342" s="728" t="b">
        <v>0</v>
      </c>
      <c r="N342" s="728"/>
      <c r="O342" s="728" t="b">
        <v>0</v>
      </c>
      <c r="P342" s="728"/>
      <c r="Q342" s="728" t="b">
        <v>0</v>
      </c>
      <c r="R342" s="728"/>
      <c r="S342" s="170"/>
      <c r="U342" s="143">
        <f>V342+W342</f>
        <v>10</v>
      </c>
      <c r="V342" s="117">
        <v>10</v>
      </c>
      <c r="W342" s="118">
        <v>0</v>
      </c>
      <c r="X342" s="143">
        <f>Y342+Z342</f>
        <v>10</v>
      </c>
      <c r="Y342" s="117">
        <v>10</v>
      </c>
      <c r="Z342" s="118">
        <v>0</v>
      </c>
      <c r="AA342" s="124">
        <v>0</v>
      </c>
      <c r="AB342" s="125">
        <v>1</v>
      </c>
      <c r="AC342" s="124">
        <v>0</v>
      </c>
      <c r="AD342" s="117">
        <v>0</v>
      </c>
      <c r="AE342" s="117">
        <v>0</v>
      </c>
      <c r="AF342" s="126">
        <f>B341</f>
        <v>0</v>
      </c>
    </row>
    <row r="343" spans="1:32" hidden="1" x14ac:dyDescent="0.25">
      <c r="A343" s="165"/>
      <c r="B343" s="64"/>
      <c r="C343" s="659"/>
      <c r="D343" s="659"/>
      <c r="E343" s="659"/>
      <c r="F343" s="659"/>
      <c r="G343" s="659"/>
      <c r="H343" s="659"/>
      <c r="I343" s="659"/>
      <c r="J343" s="659"/>
      <c r="K343" s="659"/>
      <c r="L343" s="659"/>
      <c r="M343" s="659"/>
      <c r="N343" s="659"/>
      <c r="O343" s="659"/>
      <c r="P343" s="659"/>
      <c r="Q343" s="659"/>
      <c r="R343" s="659"/>
      <c r="S343" s="170"/>
    </row>
    <row r="344" spans="1:32" hidden="1" x14ac:dyDescent="0.25">
      <c r="A344" s="165"/>
      <c r="B344" s="64"/>
      <c r="C344" s="179"/>
      <c r="D344" s="64"/>
      <c r="E344" s="659"/>
      <c r="F344" s="659"/>
      <c r="G344" s="659"/>
      <c r="H344" s="659"/>
      <c r="I344" s="659"/>
      <c r="J344" s="659"/>
      <c r="K344" s="659"/>
      <c r="L344" s="659"/>
      <c r="M344" s="659"/>
      <c r="N344" s="659"/>
      <c r="O344" s="659"/>
      <c r="P344" s="659"/>
      <c r="Q344" s="659"/>
      <c r="R344" s="659"/>
      <c r="S344" s="170"/>
    </row>
    <row r="345" spans="1:32" hidden="1" x14ac:dyDescent="0.25">
      <c r="A345" s="165"/>
      <c r="B345" s="64"/>
      <c r="C345" s="179"/>
      <c r="D345" s="64"/>
      <c r="E345" s="659"/>
      <c r="F345" s="659"/>
      <c r="G345" s="659"/>
      <c r="H345" s="659"/>
      <c r="I345" s="659"/>
      <c r="J345" s="659"/>
      <c r="K345" s="659"/>
      <c r="L345" s="659"/>
      <c r="M345" s="659"/>
      <c r="N345" s="659"/>
      <c r="O345" s="659"/>
      <c r="P345" s="659"/>
      <c r="Q345" s="659"/>
      <c r="R345" s="659"/>
      <c r="S345" s="170"/>
    </row>
    <row r="346" spans="1:32" hidden="1" x14ac:dyDescent="0.25">
      <c r="A346" s="165"/>
      <c r="B346" s="64"/>
      <c r="C346" s="180"/>
      <c r="D346" s="659"/>
      <c r="E346" s="659"/>
      <c r="F346" s="659"/>
      <c r="G346" s="659"/>
      <c r="H346" s="659"/>
      <c r="I346" s="659"/>
      <c r="J346" s="659"/>
      <c r="K346" s="659"/>
      <c r="L346" s="659"/>
      <c r="M346" s="659"/>
      <c r="N346" s="659"/>
      <c r="O346" s="659"/>
      <c r="P346" s="659"/>
      <c r="Q346" s="659"/>
      <c r="R346" s="659"/>
      <c r="S346" s="170"/>
    </row>
    <row r="347" spans="1:32" hidden="1" x14ac:dyDescent="0.25">
      <c r="A347" s="165"/>
      <c r="B347" s="64"/>
      <c r="C347" s="180"/>
      <c r="D347" s="659"/>
      <c r="E347" s="659"/>
      <c r="F347" s="659"/>
      <c r="G347" s="659"/>
      <c r="H347" s="659"/>
      <c r="I347" s="659"/>
      <c r="J347" s="659"/>
      <c r="K347" s="659"/>
      <c r="L347" s="659"/>
      <c r="M347" s="659"/>
      <c r="N347" s="659"/>
      <c r="O347" s="659"/>
      <c r="P347" s="659"/>
      <c r="Q347" s="659"/>
      <c r="R347" s="659"/>
      <c r="S347" s="170"/>
    </row>
    <row r="348" spans="1:32" hidden="1" x14ac:dyDescent="0.25">
      <c r="A348" s="165"/>
      <c r="B348" s="64"/>
      <c r="C348" s="180"/>
      <c r="D348" s="659"/>
      <c r="E348" s="659"/>
      <c r="F348" s="659"/>
      <c r="G348" s="659"/>
      <c r="H348" s="659"/>
      <c r="I348" s="659"/>
      <c r="J348" s="659"/>
      <c r="K348" s="659"/>
      <c r="L348" s="659"/>
      <c r="M348" s="659"/>
      <c r="N348" s="659"/>
      <c r="O348" s="659"/>
      <c r="P348" s="659"/>
      <c r="Q348" s="659"/>
      <c r="R348" s="659"/>
      <c r="S348" s="170"/>
    </row>
    <row r="349" spans="1:32" hidden="1" x14ac:dyDescent="0.25">
      <c r="A349" s="165"/>
      <c r="B349" s="64"/>
      <c r="C349" s="179"/>
      <c r="D349" s="64"/>
      <c r="E349" s="659"/>
      <c r="F349" s="659"/>
      <c r="G349" s="659"/>
      <c r="H349" s="659"/>
      <c r="I349" s="659"/>
      <c r="J349" s="659"/>
      <c r="K349" s="659"/>
      <c r="L349" s="659"/>
      <c r="M349" s="659"/>
      <c r="N349" s="659"/>
      <c r="O349" s="659"/>
      <c r="P349" s="659"/>
      <c r="Q349" s="659"/>
      <c r="R349" s="659"/>
      <c r="S349" s="170"/>
    </row>
    <row r="350" spans="1:32" hidden="1" x14ac:dyDescent="0.25">
      <c r="A350" s="165"/>
      <c r="B350" s="64"/>
      <c r="C350" s="659"/>
      <c r="D350" s="64"/>
      <c r="E350" s="659"/>
      <c r="F350" s="659"/>
      <c r="G350" s="659"/>
      <c r="H350" s="659"/>
      <c r="I350" s="659"/>
      <c r="J350" s="659"/>
      <c r="K350" s="659"/>
      <c r="L350" s="659"/>
      <c r="M350" s="659"/>
      <c r="N350" s="659"/>
      <c r="O350" s="659"/>
      <c r="P350" s="659"/>
      <c r="Q350" s="659"/>
      <c r="R350" s="659"/>
      <c r="S350" s="170"/>
    </row>
    <row r="351" spans="1:32" ht="12.75" hidden="1" customHeight="1" collapsed="1" x14ac:dyDescent="0.25">
      <c r="A351" s="59"/>
      <c r="B351" s="725" t="s">
        <v>613</v>
      </c>
      <c r="C351" s="732"/>
      <c r="D351" s="732"/>
      <c r="E351" s="732"/>
      <c r="F351" s="732"/>
      <c r="G351" s="732"/>
      <c r="H351" s="732"/>
      <c r="I351" s="732"/>
      <c r="J351" s="732"/>
      <c r="K351" s="732"/>
      <c r="L351" s="732"/>
      <c r="M351" s="732"/>
      <c r="N351" s="732"/>
      <c r="O351" s="130"/>
      <c r="P351" s="130"/>
      <c r="Q351" s="130"/>
      <c r="R351" s="131"/>
      <c r="S351" s="94"/>
      <c r="U351" s="145"/>
      <c r="V351" s="136"/>
      <c r="W351" s="134"/>
      <c r="X351" s="145"/>
      <c r="Y351" s="136"/>
      <c r="Z351" s="134"/>
      <c r="AA351" s="135"/>
      <c r="AB351" s="136"/>
      <c r="AC351" s="136"/>
      <c r="AD351" s="136"/>
      <c r="AE351" s="136"/>
      <c r="AF351" s="173" t="str">
        <f t="shared" ref="AF351:AF360" si="16">B351</f>
        <v>Intrinsically safe stub lines 2 (Ex)  -  Line capacitance max. 82nF, line inductance max. 2.3mH, line resistance max. 50 Ohm</v>
      </c>
    </row>
    <row r="352" spans="1:32" ht="27.75" hidden="1" customHeight="1" outlineLevel="1" x14ac:dyDescent="0.25">
      <c r="A352" s="59"/>
      <c r="B352" s="121" t="s">
        <v>609</v>
      </c>
      <c r="C352" s="174"/>
      <c r="D352" s="113"/>
      <c r="E352" s="175"/>
      <c r="F352" s="138"/>
      <c r="G352" s="174"/>
      <c r="H352" s="155"/>
      <c r="I352" s="175"/>
      <c r="J352" s="138"/>
      <c r="K352" s="174"/>
      <c r="L352" s="155"/>
      <c r="M352" s="175"/>
      <c r="N352" s="138"/>
      <c r="O352" s="174"/>
      <c r="P352" s="155"/>
      <c r="Q352" s="175"/>
      <c r="R352" s="138"/>
      <c r="S352" s="94"/>
      <c r="U352" s="145"/>
      <c r="V352" s="136"/>
      <c r="W352" s="134"/>
      <c r="X352" s="145"/>
      <c r="Y352" s="136"/>
      <c r="Z352" s="134"/>
      <c r="AA352" s="135"/>
      <c r="AB352" s="136"/>
      <c r="AC352" s="136"/>
      <c r="AD352" s="136"/>
      <c r="AE352" s="136"/>
      <c r="AF352" s="173" t="str">
        <f t="shared" si="16"/>
        <v>FDCL221-Ex - Line adaptor Ex</v>
      </c>
    </row>
    <row r="353" spans="1:32" hidden="1" outlineLevel="1" x14ac:dyDescent="0.25">
      <c r="A353" s="59"/>
      <c r="B353" s="121" t="s">
        <v>610</v>
      </c>
      <c r="C353" s="344">
        <v>0</v>
      </c>
      <c r="D353" s="113" t="s">
        <v>256</v>
      </c>
      <c r="E353" s="176"/>
      <c r="F353" s="138"/>
      <c r="G353" s="344">
        <v>0</v>
      </c>
      <c r="H353" s="155" t="s">
        <v>256</v>
      </c>
      <c r="I353" s="176"/>
      <c r="J353" s="138"/>
      <c r="K353" s="344">
        <v>0</v>
      </c>
      <c r="L353" s="155" t="s">
        <v>256</v>
      </c>
      <c r="M353" s="176"/>
      <c r="N353" s="138"/>
      <c r="O353" s="344">
        <v>0</v>
      </c>
      <c r="P353" s="155" t="s">
        <v>256</v>
      </c>
      <c r="Q353" s="176"/>
      <c r="R353" s="138"/>
      <c r="S353" s="94"/>
      <c r="U353" s="143">
        <f>V353+W353</f>
        <v>1.25</v>
      </c>
      <c r="V353" s="117">
        <v>1.25</v>
      </c>
      <c r="W353" s="118">
        <v>0</v>
      </c>
      <c r="X353" s="143">
        <f>Y353+Z353</f>
        <v>1.25</v>
      </c>
      <c r="Y353" s="117">
        <v>1.25</v>
      </c>
      <c r="Z353" s="118">
        <v>0</v>
      </c>
      <c r="AA353" s="124">
        <v>0</v>
      </c>
      <c r="AB353" s="125">
        <v>1</v>
      </c>
      <c r="AC353" s="125">
        <v>1</v>
      </c>
      <c r="AD353" s="117">
        <v>0</v>
      </c>
      <c r="AE353" s="117">
        <v>0</v>
      </c>
      <c r="AF353" s="126" t="str">
        <f t="shared" si="16"/>
        <v>OOH740-A9-Ex - Neural fire detector Ex</v>
      </c>
    </row>
    <row r="354" spans="1:32" hidden="1" outlineLevel="1" x14ac:dyDescent="0.25">
      <c r="A354" s="59"/>
      <c r="B354" s="121" t="s">
        <v>611</v>
      </c>
      <c r="C354" s="344">
        <v>0</v>
      </c>
      <c r="D354" s="113" t="s">
        <v>256</v>
      </c>
      <c r="E354" s="176"/>
      <c r="F354" s="138"/>
      <c r="G354" s="344">
        <v>0</v>
      </c>
      <c r="H354" s="155" t="s">
        <v>256</v>
      </c>
      <c r="I354" s="176"/>
      <c r="J354" s="138"/>
      <c r="K354" s="344">
        <v>0</v>
      </c>
      <c r="L354" s="155" t="s">
        <v>256</v>
      </c>
      <c r="M354" s="176"/>
      <c r="N354" s="138"/>
      <c r="O354" s="344">
        <v>0</v>
      </c>
      <c r="P354" s="155" t="s">
        <v>256</v>
      </c>
      <c r="Q354" s="176"/>
      <c r="R354" s="138"/>
      <c r="S354" s="94"/>
      <c r="U354" s="143">
        <f>V354+W354</f>
        <v>1.25</v>
      </c>
      <c r="V354" s="125">
        <v>1.25</v>
      </c>
      <c r="W354" s="118">
        <v>0</v>
      </c>
      <c r="X354" s="143">
        <f>Y354+Z354</f>
        <v>1.25</v>
      </c>
      <c r="Y354" s="125">
        <v>1.25</v>
      </c>
      <c r="Z354" s="118">
        <v>0</v>
      </c>
      <c r="AA354" s="124">
        <v>0</v>
      </c>
      <c r="AB354" s="125">
        <v>1</v>
      </c>
      <c r="AC354" s="125">
        <v>1</v>
      </c>
      <c r="AD354" s="125">
        <v>0</v>
      </c>
      <c r="AE354" s="125">
        <v>0</v>
      </c>
      <c r="AF354" s="126" t="str">
        <f t="shared" si="16"/>
        <v>FDM223-Ex - Manual call point Ex</v>
      </c>
    </row>
    <row r="355" spans="1:32" ht="12.75" hidden="1" customHeight="1" x14ac:dyDescent="0.25">
      <c r="A355" s="59"/>
      <c r="B355" s="111"/>
      <c r="C355" s="347">
        <v>0</v>
      </c>
      <c r="D355" s="113"/>
      <c r="E355" s="175"/>
      <c r="F355" s="154"/>
      <c r="G355" s="347">
        <v>0</v>
      </c>
      <c r="H355" s="155"/>
      <c r="I355" s="175"/>
      <c r="J355" s="154"/>
      <c r="K355" s="347">
        <v>0</v>
      </c>
      <c r="L355" s="155"/>
      <c r="M355" s="175"/>
      <c r="N355" s="154"/>
      <c r="O355" s="347">
        <v>0</v>
      </c>
      <c r="P355" s="155"/>
      <c r="Q355" s="175"/>
      <c r="R355" s="154"/>
      <c r="S355" s="61"/>
      <c r="U355" s="116"/>
      <c r="V355" s="125"/>
      <c r="W355" s="118"/>
      <c r="X355" s="116"/>
      <c r="Y355" s="125"/>
      <c r="Z355" s="118"/>
      <c r="AA355" s="119"/>
      <c r="AB355" s="117"/>
      <c r="AC355" s="124"/>
      <c r="AD355" s="125"/>
      <c r="AE355" s="125"/>
      <c r="AF355" s="126">
        <f t="shared" si="16"/>
        <v>0</v>
      </c>
    </row>
    <row r="356" spans="1:32" ht="12.75" hidden="1" customHeight="1" x14ac:dyDescent="0.25">
      <c r="A356" s="59"/>
      <c r="B356" s="111"/>
      <c r="C356" s="177"/>
      <c r="D356" s="156"/>
      <c r="E356" s="178"/>
      <c r="F356" s="154"/>
      <c r="G356" s="177"/>
      <c r="H356" s="157"/>
      <c r="I356" s="178"/>
      <c r="J356" s="154"/>
      <c r="K356" s="177"/>
      <c r="L356" s="157"/>
      <c r="M356" s="178"/>
      <c r="N356" s="154"/>
      <c r="O356" s="177"/>
      <c r="P356" s="157"/>
      <c r="Q356" s="178"/>
      <c r="R356" s="154"/>
      <c r="S356" s="61"/>
      <c r="U356" s="116"/>
      <c r="V356" s="125"/>
      <c r="W356" s="118"/>
      <c r="X356" s="116"/>
      <c r="Y356" s="125"/>
      <c r="Z356" s="118"/>
      <c r="AA356" s="119"/>
      <c r="AB356" s="117"/>
      <c r="AC356" s="124"/>
      <c r="AD356" s="125"/>
      <c r="AE356" s="125"/>
      <c r="AF356" s="126">
        <f t="shared" si="16"/>
        <v>0</v>
      </c>
    </row>
    <row r="357" spans="1:32" ht="12.75" hidden="1" customHeight="1" x14ac:dyDescent="0.25">
      <c r="A357" s="59"/>
      <c r="B357" s="111"/>
      <c r="C357" s="177"/>
      <c r="D357" s="156"/>
      <c r="E357" s="178"/>
      <c r="F357" s="154"/>
      <c r="G357" s="177"/>
      <c r="H357" s="157"/>
      <c r="I357" s="178"/>
      <c r="J357" s="154"/>
      <c r="K357" s="177"/>
      <c r="L357" s="157"/>
      <c r="M357" s="178"/>
      <c r="N357" s="154"/>
      <c r="O357" s="177"/>
      <c r="P357" s="157"/>
      <c r="Q357" s="178"/>
      <c r="R357" s="154"/>
      <c r="S357" s="61"/>
      <c r="U357" s="143"/>
      <c r="V357" s="125"/>
      <c r="W357" s="118"/>
      <c r="X357" s="143"/>
      <c r="Y357" s="125"/>
      <c r="Z357" s="118"/>
      <c r="AA357" s="124"/>
      <c r="AB357" s="125"/>
      <c r="AC357" s="151"/>
      <c r="AD357" s="125"/>
      <c r="AE357" s="125"/>
      <c r="AF357" s="126">
        <f t="shared" si="16"/>
        <v>0</v>
      </c>
    </row>
    <row r="358" spans="1:32" ht="12.75" hidden="1" customHeight="1" x14ac:dyDescent="0.25">
      <c r="A358" s="59"/>
      <c r="B358" s="111"/>
      <c r="C358" s="177"/>
      <c r="D358" s="156"/>
      <c r="E358" s="178"/>
      <c r="F358" s="154"/>
      <c r="G358" s="177"/>
      <c r="H358" s="157"/>
      <c r="I358" s="178"/>
      <c r="J358" s="154"/>
      <c r="K358" s="177"/>
      <c r="L358" s="157"/>
      <c r="M358" s="178"/>
      <c r="N358" s="154"/>
      <c r="O358" s="177"/>
      <c r="P358" s="157"/>
      <c r="Q358" s="178"/>
      <c r="R358" s="154"/>
      <c r="S358" s="61"/>
      <c r="U358" s="143"/>
      <c r="V358" s="125"/>
      <c r="W358" s="118"/>
      <c r="X358" s="143"/>
      <c r="Y358" s="125"/>
      <c r="Z358" s="118"/>
      <c r="AA358" s="124"/>
      <c r="AB358" s="125"/>
      <c r="AC358" s="151"/>
      <c r="AD358" s="125"/>
      <c r="AE358" s="125"/>
      <c r="AF358" s="126">
        <f t="shared" si="16"/>
        <v>0</v>
      </c>
    </row>
    <row r="359" spans="1:32" ht="12.75" hidden="1" customHeight="1" x14ac:dyDescent="0.25">
      <c r="A359" s="59"/>
      <c r="B359" s="111"/>
      <c r="C359" s="177"/>
      <c r="D359" s="156"/>
      <c r="E359" s="178"/>
      <c r="F359" s="154"/>
      <c r="G359" s="177"/>
      <c r="H359" s="157"/>
      <c r="I359" s="178"/>
      <c r="J359" s="154"/>
      <c r="K359" s="177"/>
      <c r="L359" s="157"/>
      <c r="M359" s="178"/>
      <c r="N359" s="154"/>
      <c r="O359" s="177"/>
      <c r="P359" s="157"/>
      <c r="Q359" s="178"/>
      <c r="R359" s="154"/>
      <c r="S359" s="61"/>
      <c r="U359" s="143"/>
      <c r="V359" s="125"/>
      <c r="W359" s="118"/>
      <c r="X359" s="143"/>
      <c r="Y359" s="125"/>
      <c r="Z359" s="118"/>
      <c r="AA359" s="124"/>
      <c r="AB359" s="125"/>
      <c r="AC359" s="151"/>
      <c r="AD359" s="125"/>
      <c r="AE359" s="125"/>
      <c r="AF359" s="126">
        <f t="shared" si="16"/>
        <v>0</v>
      </c>
    </row>
    <row r="360" spans="1:32" ht="12.75" hidden="1" customHeight="1" thickBot="1" x14ac:dyDescent="0.3">
      <c r="A360" s="59"/>
      <c r="B360" s="181"/>
      <c r="C360" s="182"/>
      <c r="D360" s="183"/>
      <c r="E360" s="184"/>
      <c r="F360" s="185"/>
      <c r="G360" s="182"/>
      <c r="H360" s="186"/>
      <c r="I360" s="184"/>
      <c r="J360" s="185"/>
      <c r="K360" s="182"/>
      <c r="L360" s="186"/>
      <c r="M360" s="184"/>
      <c r="N360" s="185"/>
      <c r="O360" s="182"/>
      <c r="P360" s="186"/>
      <c r="Q360" s="184"/>
      <c r="R360" s="185"/>
      <c r="S360" s="61"/>
      <c r="U360" s="143"/>
      <c r="V360" s="125"/>
      <c r="W360" s="118"/>
      <c r="X360" s="143"/>
      <c r="Y360" s="125"/>
      <c r="Z360" s="118"/>
      <c r="AA360" s="124"/>
      <c r="AB360" s="125"/>
      <c r="AC360" s="124"/>
      <c r="AD360" s="125"/>
      <c r="AE360" s="125"/>
      <c r="AF360" s="126">
        <f t="shared" si="16"/>
        <v>0</v>
      </c>
    </row>
    <row r="361" spans="1:32" hidden="1" x14ac:dyDescent="0.25">
      <c r="A361" s="165"/>
      <c r="B361" s="64" t="s">
        <v>612</v>
      </c>
      <c r="C361" s="728" t="b">
        <v>0</v>
      </c>
      <c r="D361" s="728"/>
      <c r="E361" s="728" t="b">
        <v>0</v>
      </c>
      <c r="F361" s="728"/>
      <c r="G361" s="728" t="b">
        <v>0</v>
      </c>
      <c r="H361" s="728"/>
      <c r="I361" s="728" t="b">
        <v>0</v>
      </c>
      <c r="J361" s="728"/>
      <c r="K361" s="728" t="b">
        <v>0</v>
      </c>
      <c r="L361" s="728"/>
      <c r="M361" s="728" t="b">
        <v>0</v>
      </c>
      <c r="N361" s="728"/>
      <c r="O361" s="728" t="b">
        <v>0</v>
      </c>
      <c r="P361" s="728"/>
      <c r="Q361" s="728" t="b">
        <v>0</v>
      </c>
      <c r="R361" s="728"/>
      <c r="S361" s="170"/>
      <c r="U361" s="143">
        <f>V361+W361</f>
        <v>10</v>
      </c>
      <c r="V361" s="117">
        <v>10</v>
      </c>
      <c r="W361" s="118">
        <v>0</v>
      </c>
      <c r="X361" s="143">
        <f>Y361+Z361</f>
        <v>10</v>
      </c>
      <c r="Y361" s="117">
        <v>10</v>
      </c>
      <c r="Z361" s="118">
        <v>0</v>
      </c>
      <c r="AA361" s="124">
        <v>0</v>
      </c>
      <c r="AB361" s="125">
        <v>1</v>
      </c>
      <c r="AC361" s="124">
        <v>0</v>
      </c>
      <c r="AD361" s="117">
        <v>0</v>
      </c>
      <c r="AE361" s="117">
        <v>0</v>
      </c>
      <c r="AF361" s="126"/>
    </row>
    <row r="362" spans="1:32" hidden="1" x14ac:dyDescent="0.25">
      <c r="A362" s="165"/>
      <c r="B362" s="64"/>
      <c r="C362" s="659"/>
      <c r="D362" s="659"/>
      <c r="E362" s="659"/>
      <c r="F362" s="659"/>
      <c r="G362" s="659"/>
      <c r="H362" s="659"/>
      <c r="I362" s="659"/>
      <c r="J362" s="659"/>
      <c r="K362" s="659"/>
      <c r="L362" s="659"/>
      <c r="M362" s="659"/>
      <c r="N362" s="659"/>
      <c r="O362" s="659"/>
      <c r="P362" s="659"/>
      <c r="Q362" s="659"/>
      <c r="R362" s="659"/>
      <c r="S362" s="170"/>
    </row>
    <row r="363" spans="1:32" hidden="1" x14ac:dyDescent="0.25">
      <c r="A363" s="165"/>
      <c r="B363" s="64"/>
      <c r="C363" s="179"/>
      <c r="D363" s="64"/>
      <c r="E363" s="659"/>
      <c r="F363" s="659"/>
      <c r="G363" s="659"/>
      <c r="H363" s="659"/>
      <c r="I363" s="659"/>
      <c r="J363" s="659"/>
      <c r="K363" s="659"/>
      <c r="L363" s="659"/>
      <c r="M363" s="659"/>
      <c r="N363" s="659"/>
      <c r="O363" s="659"/>
      <c r="P363" s="659"/>
      <c r="Q363" s="659"/>
      <c r="R363" s="659"/>
      <c r="S363" s="170"/>
    </row>
    <row r="364" spans="1:32" hidden="1" x14ac:dyDescent="0.25">
      <c r="A364" s="165"/>
      <c r="B364" s="64"/>
      <c r="C364" s="179"/>
      <c r="D364" s="64"/>
      <c r="E364" s="659"/>
      <c r="F364" s="659"/>
      <c r="G364" s="659"/>
      <c r="H364" s="659"/>
      <c r="I364" s="659"/>
      <c r="J364" s="659"/>
      <c r="K364" s="659"/>
      <c r="L364" s="659"/>
      <c r="M364" s="659"/>
      <c r="N364" s="659"/>
      <c r="O364" s="659"/>
      <c r="P364" s="659"/>
      <c r="Q364" s="659"/>
      <c r="R364" s="659"/>
      <c r="S364" s="170"/>
    </row>
    <row r="365" spans="1:32" hidden="1" x14ac:dyDescent="0.25">
      <c r="A365" s="165"/>
      <c r="B365" s="64"/>
      <c r="C365" s="180"/>
      <c r="D365" s="659"/>
      <c r="E365" s="659"/>
      <c r="F365" s="659"/>
      <c r="G365" s="659"/>
      <c r="H365" s="659"/>
      <c r="I365" s="659"/>
      <c r="J365" s="659"/>
      <c r="K365" s="659"/>
      <c r="L365" s="659"/>
      <c r="M365" s="659"/>
      <c r="N365" s="659"/>
      <c r="O365" s="659"/>
      <c r="P365" s="659"/>
      <c r="Q365" s="659"/>
      <c r="R365" s="659"/>
      <c r="S365" s="170"/>
    </row>
    <row r="366" spans="1:32" hidden="1" x14ac:dyDescent="0.25">
      <c r="A366" s="165"/>
      <c r="B366" s="64"/>
      <c r="C366" s="180"/>
      <c r="D366" s="659"/>
      <c r="E366" s="659"/>
      <c r="F366" s="659"/>
      <c r="G366" s="659"/>
      <c r="H366" s="659"/>
      <c r="I366" s="659"/>
      <c r="J366" s="659"/>
      <c r="K366" s="659"/>
      <c r="L366" s="659"/>
      <c r="M366" s="659"/>
      <c r="N366" s="659"/>
      <c r="O366" s="659"/>
      <c r="P366" s="659"/>
      <c r="Q366" s="659"/>
      <c r="R366" s="659"/>
      <c r="S366" s="170"/>
    </row>
    <row r="367" spans="1:32" hidden="1" x14ac:dyDescent="0.25">
      <c r="A367" s="165"/>
      <c r="B367" s="64"/>
      <c r="C367" s="180"/>
      <c r="D367" s="659"/>
      <c r="E367" s="659"/>
      <c r="F367" s="659"/>
      <c r="G367" s="659"/>
      <c r="H367" s="659"/>
      <c r="I367" s="659"/>
      <c r="J367" s="659"/>
      <c r="K367" s="659"/>
      <c r="L367" s="659"/>
      <c r="M367" s="659"/>
      <c r="N367" s="659"/>
      <c r="O367" s="659"/>
      <c r="P367" s="659"/>
      <c r="Q367" s="659"/>
      <c r="R367" s="659"/>
      <c r="S367" s="170"/>
    </row>
    <row r="368" spans="1:32" hidden="1" x14ac:dyDescent="0.25">
      <c r="A368" s="165"/>
      <c r="B368" s="64"/>
      <c r="C368" s="180"/>
      <c r="D368" s="659"/>
      <c r="E368" s="659"/>
      <c r="F368" s="659"/>
      <c r="G368" s="659"/>
      <c r="H368" s="659"/>
      <c r="I368" s="659"/>
      <c r="J368" s="659"/>
      <c r="K368" s="659"/>
      <c r="L368" s="659"/>
      <c r="M368" s="659"/>
      <c r="N368" s="659"/>
      <c r="O368" s="659"/>
      <c r="P368" s="659"/>
      <c r="Q368" s="659"/>
      <c r="R368" s="659"/>
      <c r="S368" s="170"/>
    </row>
    <row r="369" spans="1:19" hidden="1" x14ac:dyDescent="0.25">
      <c r="A369" s="165"/>
      <c r="B369" s="64"/>
      <c r="C369" s="180"/>
      <c r="D369" s="659"/>
      <c r="E369" s="659"/>
      <c r="F369" s="659"/>
      <c r="G369" s="659"/>
      <c r="H369" s="659"/>
      <c r="I369" s="659"/>
      <c r="J369" s="659"/>
      <c r="K369" s="659"/>
      <c r="L369" s="659"/>
      <c r="M369" s="659"/>
      <c r="N369" s="659"/>
      <c r="O369" s="659"/>
      <c r="P369" s="659"/>
      <c r="Q369" s="659"/>
      <c r="R369" s="659"/>
      <c r="S369" s="170"/>
    </row>
    <row r="370" spans="1:19" hidden="1" x14ac:dyDescent="0.25">
      <c r="A370" s="165"/>
      <c r="B370" s="64"/>
      <c r="C370" s="179"/>
      <c r="D370" s="64"/>
      <c r="E370" s="659"/>
      <c r="F370" s="659"/>
      <c r="G370" s="659"/>
      <c r="H370" s="659"/>
      <c r="I370" s="659"/>
      <c r="J370" s="659"/>
      <c r="K370" s="659"/>
      <c r="L370" s="659"/>
      <c r="M370" s="659"/>
      <c r="N370" s="659"/>
      <c r="O370" s="659"/>
      <c r="P370" s="659"/>
      <c r="Q370" s="659"/>
      <c r="R370" s="659"/>
      <c r="S370" s="170"/>
    </row>
    <row r="371" spans="1:19" hidden="1" x14ac:dyDescent="0.25">
      <c r="A371" s="165"/>
      <c r="B371" s="64"/>
      <c r="C371" s="179"/>
      <c r="D371" s="64"/>
      <c r="E371" s="659"/>
      <c r="F371" s="659"/>
      <c r="G371" s="659"/>
      <c r="H371" s="659"/>
      <c r="I371" s="659"/>
      <c r="J371" s="659"/>
      <c r="K371" s="659"/>
      <c r="L371" s="659"/>
      <c r="M371" s="659"/>
      <c r="N371" s="659"/>
      <c r="O371" s="659"/>
      <c r="P371" s="659"/>
      <c r="Q371" s="659"/>
      <c r="R371" s="659"/>
      <c r="S371" s="170"/>
    </row>
    <row r="372" spans="1:19" ht="13" hidden="1" x14ac:dyDescent="0.25">
      <c r="A372" s="165"/>
      <c r="B372" s="172"/>
      <c r="C372" s="180"/>
      <c r="D372" s="659"/>
      <c r="E372" s="659"/>
      <c r="F372" s="659"/>
      <c r="G372" s="659"/>
      <c r="H372" s="659"/>
      <c r="I372" s="659"/>
      <c r="J372" s="659"/>
      <c r="K372" s="659"/>
      <c r="L372" s="659"/>
      <c r="M372" s="659"/>
      <c r="N372" s="659"/>
      <c r="O372" s="659"/>
      <c r="P372" s="659"/>
      <c r="Q372" s="659"/>
      <c r="R372" s="659"/>
      <c r="S372" s="170"/>
    </row>
    <row r="373" spans="1:19" ht="13" hidden="1" x14ac:dyDescent="0.25">
      <c r="A373" s="165"/>
      <c r="B373" s="172"/>
      <c r="C373" s="180"/>
      <c r="D373" s="659"/>
      <c r="E373" s="659"/>
      <c r="F373" s="659"/>
      <c r="G373" s="659"/>
      <c r="H373" s="659"/>
      <c r="I373" s="659"/>
      <c r="J373" s="659"/>
      <c r="K373" s="659"/>
      <c r="L373" s="659"/>
      <c r="M373" s="659"/>
      <c r="N373" s="659"/>
      <c r="O373" s="659"/>
      <c r="P373" s="659"/>
      <c r="Q373" s="659"/>
      <c r="R373" s="659"/>
      <c r="S373" s="170"/>
    </row>
    <row r="374" spans="1:19" ht="13" hidden="1" x14ac:dyDescent="0.25">
      <c r="A374" s="165"/>
      <c r="B374" s="172"/>
      <c r="C374" s="180"/>
      <c r="D374" s="659"/>
      <c r="E374" s="659"/>
      <c r="F374" s="659"/>
      <c r="G374" s="659"/>
      <c r="H374" s="659"/>
      <c r="I374" s="659"/>
      <c r="J374" s="659"/>
      <c r="K374" s="659"/>
      <c r="L374" s="659"/>
      <c r="M374" s="659"/>
      <c r="N374" s="659"/>
      <c r="O374" s="659"/>
      <c r="P374" s="659"/>
      <c r="Q374" s="659"/>
      <c r="R374" s="659"/>
      <c r="S374" s="170"/>
    </row>
    <row r="375" spans="1:19" ht="13" hidden="1" x14ac:dyDescent="0.25">
      <c r="A375" s="165"/>
      <c r="B375" s="166" t="s">
        <v>605</v>
      </c>
      <c r="C375" s="180"/>
      <c r="D375" s="659"/>
      <c r="E375" s="659"/>
      <c r="F375" s="659"/>
      <c r="G375" s="659"/>
      <c r="H375" s="659"/>
      <c r="I375" s="659"/>
      <c r="J375" s="659"/>
      <c r="K375" s="659"/>
      <c r="L375" s="659"/>
      <c r="M375" s="659"/>
      <c r="N375" s="659"/>
      <c r="O375" s="659"/>
      <c r="P375" s="659"/>
      <c r="Q375" s="659"/>
      <c r="R375" s="659"/>
      <c r="S375" s="170"/>
    </row>
    <row r="376" spans="1:19" ht="13" hidden="1" x14ac:dyDescent="0.25">
      <c r="A376" s="165"/>
      <c r="B376" s="172" t="s">
        <v>606</v>
      </c>
      <c r="C376" s="180"/>
      <c r="D376" s="659"/>
      <c r="E376" s="659"/>
      <c r="F376" s="659"/>
      <c r="G376" s="659"/>
      <c r="H376" s="659"/>
      <c r="I376" s="659"/>
      <c r="J376" s="659"/>
      <c r="K376" s="659"/>
      <c r="L376" s="659"/>
      <c r="M376" s="659"/>
      <c r="N376" s="659"/>
      <c r="O376" s="659"/>
      <c r="P376" s="659"/>
      <c r="Q376" s="659"/>
      <c r="R376" s="659"/>
      <c r="S376" s="170"/>
    </row>
    <row r="377" spans="1:19" ht="13" hidden="1" x14ac:dyDescent="0.25">
      <c r="A377" s="165"/>
      <c r="B377" s="172" t="s">
        <v>607</v>
      </c>
      <c r="C377" s="180"/>
      <c r="D377" s="659"/>
      <c r="E377" s="659"/>
      <c r="F377" s="659"/>
      <c r="G377" s="659"/>
      <c r="H377" s="659"/>
      <c r="I377" s="659"/>
      <c r="J377" s="659"/>
      <c r="K377" s="659"/>
      <c r="L377" s="659"/>
      <c r="M377" s="659"/>
      <c r="N377" s="659"/>
      <c r="O377" s="659"/>
      <c r="P377" s="659"/>
      <c r="Q377" s="659"/>
      <c r="R377" s="659"/>
      <c r="S377" s="170"/>
    </row>
    <row r="378" spans="1:19" ht="13" hidden="1" x14ac:dyDescent="0.25">
      <c r="A378" s="165"/>
      <c r="B378" s="172"/>
      <c r="C378" s="180"/>
      <c r="D378" s="659"/>
      <c r="E378" s="659"/>
      <c r="F378" s="659"/>
      <c r="G378" s="659"/>
      <c r="H378" s="659"/>
      <c r="I378" s="659"/>
      <c r="J378" s="659"/>
      <c r="K378" s="659"/>
      <c r="L378" s="659"/>
      <c r="M378" s="659"/>
      <c r="N378" s="659"/>
      <c r="O378" s="659"/>
      <c r="P378" s="659"/>
      <c r="Q378" s="659"/>
      <c r="R378" s="659"/>
      <c r="S378" s="170"/>
    </row>
    <row r="379" spans="1:19" hidden="1" x14ac:dyDescent="0.25">
      <c r="A379" s="165"/>
      <c r="B379" s="64"/>
      <c r="C379" s="180"/>
      <c r="D379" s="659"/>
      <c r="E379" s="659"/>
      <c r="F379" s="659"/>
      <c r="G379" s="659"/>
      <c r="H379" s="659"/>
      <c r="I379" s="659"/>
      <c r="J379" s="659"/>
      <c r="K379" s="659"/>
      <c r="L379" s="659"/>
      <c r="M379" s="659"/>
      <c r="N379" s="659"/>
      <c r="O379" s="659"/>
      <c r="P379" s="659"/>
      <c r="Q379" s="659"/>
      <c r="R379" s="659"/>
      <c r="S379" s="170"/>
    </row>
    <row r="380" spans="1:19" hidden="1" x14ac:dyDescent="0.25">
      <c r="A380" s="165"/>
      <c r="B380" s="64" t="s">
        <v>614</v>
      </c>
      <c r="C380" s="180"/>
      <c r="D380" s="659"/>
      <c r="E380" s="659"/>
      <c r="F380" s="659"/>
      <c r="G380" s="659"/>
      <c r="H380" s="659"/>
      <c r="I380" s="659"/>
      <c r="J380" s="659"/>
      <c r="K380" s="659"/>
      <c r="L380" s="659"/>
      <c r="M380" s="659"/>
      <c r="N380" s="659"/>
      <c r="O380" s="659"/>
      <c r="P380" s="659"/>
      <c r="Q380" s="659"/>
      <c r="R380" s="659"/>
      <c r="S380" s="170"/>
    </row>
    <row r="381" spans="1:19" s="66" customFormat="1" ht="13.5" hidden="1" customHeight="1" x14ac:dyDescent="0.25">
      <c r="A381" s="62"/>
      <c r="B381" s="187"/>
      <c r="C381" s="659"/>
      <c r="D381" s="187"/>
      <c r="E381" s="64"/>
      <c r="F381" s="187"/>
      <c r="G381" s="64"/>
      <c r="H381" s="187"/>
      <c r="I381" s="64"/>
      <c r="J381" s="187"/>
      <c r="K381" s="64"/>
      <c r="L381" s="187"/>
      <c r="M381" s="64"/>
      <c r="N381" s="187"/>
      <c r="O381" s="64"/>
      <c r="P381" s="187"/>
      <c r="Q381" s="64"/>
      <c r="R381" s="187"/>
      <c r="S381" s="65"/>
    </row>
    <row r="382" spans="1:19" hidden="1" x14ac:dyDescent="0.25">
      <c r="A382" s="165"/>
      <c r="B382" s="64"/>
      <c r="C382" s="733"/>
      <c r="D382" s="733"/>
      <c r="E382" s="733"/>
      <c r="F382" s="733"/>
      <c r="G382" s="733"/>
      <c r="H382" s="733"/>
      <c r="I382" s="733"/>
      <c r="J382" s="733"/>
      <c r="K382" s="733"/>
      <c r="L382" s="733"/>
      <c r="M382" s="733"/>
      <c r="N382" s="733"/>
      <c r="O382" s="733"/>
      <c r="P382" s="733"/>
      <c r="Q382" s="733"/>
      <c r="R382" s="733"/>
      <c r="S382" s="170"/>
    </row>
    <row r="383" spans="1:19" hidden="1" x14ac:dyDescent="0.25">
      <c r="A383" s="165"/>
      <c r="B383" s="64"/>
      <c r="C383" s="64"/>
      <c r="D383" s="64"/>
      <c r="E383" s="659"/>
      <c r="F383" s="659"/>
      <c r="G383" s="659"/>
      <c r="H383" s="659"/>
      <c r="I383" s="659"/>
      <c r="J383" s="659"/>
      <c r="K383" s="659"/>
      <c r="L383" s="659"/>
      <c r="M383" s="659"/>
      <c r="N383" s="659"/>
      <c r="O383" s="659"/>
      <c r="P383" s="659"/>
      <c r="Q383" s="659"/>
      <c r="R383" s="659"/>
      <c r="S383" s="170"/>
    </row>
    <row r="384" spans="1:19" hidden="1" x14ac:dyDescent="0.25">
      <c r="A384" s="165"/>
      <c r="B384" s="64"/>
      <c r="C384" s="733"/>
      <c r="D384" s="733"/>
      <c r="E384" s="733"/>
      <c r="F384" s="733"/>
      <c r="G384" s="733"/>
      <c r="H384" s="733"/>
      <c r="I384" s="733"/>
      <c r="J384" s="733"/>
      <c r="K384" s="733"/>
      <c r="L384" s="733"/>
      <c r="M384" s="733"/>
      <c r="N384" s="733"/>
      <c r="O384" s="733"/>
      <c r="P384" s="733"/>
      <c r="Q384" s="733"/>
      <c r="R384" s="733"/>
      <c r="S384" s="170"/>
    </row>
    <row r="385" spans="1:19" hidden="1" x14ac:dyDescent="0.25">
      <c r="A385" s="165"/>
      <c r="B385" s="64"/>
      <c r="C385" s="733"/>
      <c r="D385" s="733"/>
      <c r="E385" s="733"/>
      <c r="F385" s="733"/>
      <c r="G385" s="733"/>
      <c r="H385" s="733"/>
      <c r="I385" s="733"/>
      <c r="J385" s="733"/>
      <c r="K385" s="733"/>
      <c r="L385" s="733"/>
      <c r="M385" s="733"/>
      <c r="N385" s="733"/>
      <c r="O385" s="733"/>
      <c r="P385" s="733"/>
      <c r="Q385" s="733"/>
      <c r="R385" s="733"/>
      <c r="S385" s="170"/>
    </row>
    <row r="386" spans="1:19" hidden="1" x14ac:dyDescent="0.25">
      <c r="A386" s="165"/>
      <c r="B386" s="64"/>
      <c r="C386" s="733"/>
      <c r="D386" s="733"/>
      <c r="E386" s="733"/>
      <c r="F386" s="733"/>
      <c r="G386" s="733"/>
      <c r="H386" s="733"/>
      <c r="I386" s="733"/>
      <c r="J386" s="733"/>
      <c r="K386" s="733"/>
      <c r="L386" s="733"/>
      <c r="M386" s="733"/>
      <c r="N386" s="733"/>
      <c r="O386" s="733"/>
      <c r="P386" s="733"/>
      <c r="Q386" s="733"/>
      <c r="R386" s="733"/>
      <c r="S386" s="170"/>
    </row>
    <row r="387" spans="1:19" s="66" customFormat="1" ht="13.5" hidden="1" customHeight="1" x14ac:dyDescent="0.25">
      <c r="A387" s="62"/>
      <c r="B387" s="187"/>
      <c r="C387" s="187"/>
      <c r="D387" s="187"/>
      <c r="E387" s="64"/>
      <c r="F387" s="187"/>
      <c r="G387" s="64"/>
      <c r="H387" s="187"/>
      <c r="I387" s="64"/>
      <c r="J387" s="187"/>
      <c r="K387" s="64"/>
      <c r="L387" s="187"/>
      <c r="M387" s="64"/>
      <c r="N387" s="187"/>
      <c r="O387" s="64"/>
      <c r="P387" s="187"/>
      <c r="Q387" s="64"/>
      <c r="R387" s="187"/>
      <c r="S387" s="65"/>
    </row>
    <row r="388" spans="1:19" hidden="1" x14ac:dyDescent="0.25">
      <c r="A388" s="165"/>
      <c r="B388" s="64"/>
      <c r="C388" s="659"/>
      <c r="D388" s="659"/>
      <c r="E388" s="659"/>
      <c r="F388" s="659"/>
      <c r="G388" s="659"/>
      <c r="H388" s="659"/>
      <c r="I388" s="659"/>
      <c r="J388" s="659"/>
      <c r="K388" s="659"/>
      <c r="L388" s="659"/>
      <c r="M388" s="659"/>
      <c r="N388" s="659"/>
      <c r="O388" s="659"/>
      <c r="P388" s="659"/>
      <c r="Q388" s="659"/>
      <c r="R388" s="659"/>
      <c r="S388" s="170"/>
    </row>
    <row r="389" spans="1:19" hidden="1" x14ac:dyDescent="0.25">
      <c r="A389" s="165"/>
      <c r="B389" s="64"/>
      <c r="C389" s="659"/>
      <c r="D389" s="659"/>
      <c r="E389" s="659"/>
      <c r="F389" s="659"/>
      <c r="G389" s="659"/>
      <c r="H389" s="659"/>
      <c r="I389" s="659"/>
      <c r="J389" s="659"/>
      <c r="K389" s="659"/>
      <c r="L389" s="659"/>
      <c r="M389" s="659"/>
      <c r="N389" s="659"/>
      <c r="O389" s="659"/>
      <c r="P389" s="659"/>
      <c r="Q389" s="659"/>
      <c r="R389" s="659"/>
      <c r="S389" s="170"/>
    </row>
    <row r="390" spans="1:19" s="66" customFormat="1" ht="13.5" hidden="1" customHeight="1" x14ac:dyDescent="0.25">
      <c r="A390" s="62"/>
      <c r="B390" s="188" t="s">
        <v>615</v>
      </c>
      <c r="C390" s="734" t="b">
        <v>1</v>
      </c>
      <c r="D390" s="734"/>
      <c r="E390" s="734" t="b">
        <v>1</v>
      </c>
      <c r="F390" s="734"/>
      <c r="G390" s="734" t="b">
        <v>1</v>
      </c>
      <c r="H390" s="734"/>
      <c r="I390" s="734" t="b">
        <v>1</v>
      </c>
      <c r="J390" s="734"/>
      <c r="K390" s="734" t="b">
        <v>1</v>
      </c>
      <c r="L390" s="734"/>
      <c r="M390" s="734" t="b">
        <v>1</v>
      </c>
      <c r="N390" s="734"/>
      <c r="O390" s="734" t="b">
        <v>1</v>
      </c>
      <c r="P390" s="734"/>
      <c r="Q390" s="734" t="b">
        <v>1</v>
      </c>
      <c r="R390" s="735"/>
      <c r="S390" s="65"/>
    </row>
    <row r="391" spans="1:19" s="66" customFormat="1" ht="13.5" hidden="1" customHeight="1" x14ac:dyDescent="0.25">
      <c r="A391" s="62"/>
      <c r="B391" s="189"/>
      <c r="C391" s="189" t="b">
        <v>1</v>
      </c>
      <c r="D391" s="189"/>
      <c r="E391" s="658"/>
      <c r="F391" s="658"/>
      <c r="G391" s="658"/>
      <c r="H391" s="658"/>
      <c r="I391" s="658"/>
      <c r="J391" s="658"/>
      <c r="K391" s="658"/>
      <c r="L391" s="658"/>
      <c r="M391" s="658"/>
      <c r="N391" s="658"/>
      <c r="O391" s="658"/>
      <c r="P391" s="658"/>
      <c r="Q391" s="658"/>
      <c r="R391" s="658"/>
      <c r="S391" s="65"/>
    </row>
    <row r="392" spans="1:19" s="66" customFormat="1" ht="13.5" hidden="1" customHeight="1" x14ac:dyDescent="0.25">
      <c r="A392" s="62"/>
      <c r="B392" s="188" t="s">
        <v>616</v>
      </c>
      <c r="C392" s="734" t="b">
        <v>1</v>
      </c>
      <c r="D392" s="734"/>
      <c r="E392" s="734" t="b">
        <v>1</v>
      </c>
      <c r="F392" s="734"/>
      <c r="G392" s="734" t="b">
        <v>1</v>
      </c>
      <c r="H392" s="734"/>
      <c r="I392" s="734" t="b">
        <v>1</v>
      </c>
      <c r="J392" s="734"/>
      <c r="K392" s="734" t="b">
        <v>1</v>
      </c>
      <c r="L392" s="734"/>
      <c r="M392" s="734" t="b">
        <v>1</v>
      </c>
      <c r="N392" s="734"/>
      <c r="O392" s="734" t="b">
        <v>1</v>
      </c>
      <c r="P392" s="734"/>
      <c r="Q392" s="734" t="b">
        <v>1</v>
      </c>
      <c r="R392" s="735"/>
      <c r="S392" s="65"/>
    </row>
    <row r="393" spans="1:19" s="66" customFormat="1" ht="13.5" hidden="1" customHeight="1" x14ac:dyDescent="0.25">
      <c r="A393" s="62"/>
      <c r="B393" s="190"/>
      <c r="C393" s="190" t="b">
        <v>1</v>
      </c>
      <c r="D393" s="190"/>
      <c r="E393" s="659"/>
      <c r="F393" s="659"/>
      <c r="G393" s="659"/>
      <c r="H393" s="659"/>
      <c r="I393" s="659"/>
      <c r="J393" s="659"/>
      <c r="K393" s="659"/>
      <c r="L393" s="659"/>
      <c r="M393" s="659"/>
      <c r="N393" s="659"/>
      <c r="O393" s="659"/>
      <c r="P393" s="659"/>
      <c r="Q393" s="659"/>
      <c r="R393" s="659"/>
      <c r="S393" s="65"/>
    </row>
    <row r="394" spans="1:19" s="66" customFormat="1" hidden="1" x14ac:dyDescent="0.25">
      <c r="A394" s="62"/>
      <c r="B394" s="64" t="s">
        <v>617</v>
      </c>
      <c r="C394" s="733">
        <v>0</v>
      </c>
      <c r="D394" s="733"/>
      <c r="E394" s="733">
        <v>0</v>
      </c>
      <c r="F394" s="733"/>
      <c r="G394" s="733">
        <v>0</v>
      </c>
      <c r="H394" s="733"/>
      <c r="I394" s="733">
        <v>0</v>
      </c>
      <c r="J394" s="733"/>
      <c r="K394" s="733">
        <v>0</v>
      </c>
      <c r="L394" s="733"/>
      <c r="M394" s="733">
        <v>0</v>
      </c>
      <c r="N394" s="733"/>
      <c r="O394" s="733">
        <v>0</v>
      </c>
      <c r="P394" s="733"/>
      <c r="Q394" s="733">
        <v>0</v>
      </c>
      <c r="R394" s="733"/>
      <c r="S394" s="65"/>
    </row>
    <row r="395" spans="1:19" s="66" customFormat="1" ht="13" hidden="1" x14ac:dyDescent="0.3">
      <c r="A395" s="62"/>
      <c r="B395" s="188" t="s">
        <v>618</v>
      </c>
      <c r="C395" s="191">
        <v>0</v>
      </c>
      <c r="D395" s="192" t="s">
        <v>73</v>
      </c>
      <c r="E395" s="63"/>
      <c r="F395" s="64"/>
      <c r="G395" s="64"/>
      <c r="H395" s="64"/>
      <c r="I395" s="64"/>
      <c r="J395" s="64"/>
      <c r="K395" s="64"/>
      <c r="L395" s="64"/>
      <c r="M395" s="64"/>
      <c r="N395" s="64"/>
      <c r="O395" s="64"/>
      <c r="P395" s="64"/>
      <c r="Q395" s="64"/>
      <c r="R395" s="64"/>
      <c r="S395" s="65"/>
    </row>
    <row r="396" spans="1:19" s="66" customFormat="1" hidden="1" x14ac:dyDescent="0.25">
      <c r="A396" s="62"/>
      <c r="B396" s="64" t="s">
        <v>619</v>
      </c>
      <c r="C396" s="733">
        <v>0</v>
      </c>
      <c r="D396" s="733"/>
      <c r="E396" s="733">
        <v>0</v>
      </c>
      <c r="F396" s="733"/>
      <c r="G396" s="733">
        <v>0</v>
      </c>
      <c r="H396" s="733"/>
      <c r="I396" s="733">
        <v>0</v>
      </c>
      <c r="J396" s="733"/>
      <c r="K396" s="733">
        <v>0</v>
      </c>
      <c r="L396" s="733"/>
      <c r="M396" s="733">
        <v>0</v>
      </c>
      <c r="N396" s="733"/>
      <c r="O396" s="733">
        <v>0</v>
      </c>
      <c r="P396" s="733"/>
      <c r="Q396" s="733">
        <v>0</v>
      </c>
      <c r="R396" s="733"/>
      <c r="S396" s="65"/>
    </row>
    <row r="397" spans="1:19" s="66" customFormat="1" ht="13.5" hidden="1" customHeight="1" x14ac:dyDescent="0.3">
      <c r="A397" s="62"/>
      <c r="B397" s="188" t="s">
        <v>620</v>
      </c>
      <c r="C397" s="191">
        <v>0</v>
      </c>
      <c r="D397" s="192" t="s">
        <v>73</v>
      </c>
      <c r="E397" s="63"/>
      <c r="F397" s="64"/>
      <c r="G397" s="64"/>
      <c r="H397" s="64"/>
      <c r="I397" s="64"/>
      <c r="J397" s="64"/>
      <c r="K397" s="64"/>
      <c r="L397" s="64"/>
      <c r="M397" s="64"/>
      <c r="N397" s="64"/>
      <c r="O397" s="64"/>
      <c r="P397" s="64"/>
      <c r="Q397" s="64"/>
      <c r="R397" s="64"/>
      <c r="S397" s="65"/>
    </row>
    <row r="398" spans="1:19" hidden="1" x14ac:dyDescent="0.25">
      <c r="A398" s="165"/>
      <c r="B398" s="64" t="s">
        <v>621</v>
      </c>
      <c r="C398" s="733">
        <v>0</v>
      </c>
      <c r="D398" s="733"/>
      <c r="E398" s="733">
        <v>0</v>
      </c>
      <c r="F398" s="733"/>
      <c r="G398" s="733">
        <v>0</v>
      </c>
      <c r="H398" s="733"/>
      <c r="I398" s="733">
        <v>0</v>
      </c>
      <c r="J398" s="733"/>
      <c r="K398" s="733">
        <v>0</v>
      </c>
      <c r="L398" s="733"/>
      <c r="M398" s="733">
        <v>0</v>
      </c>
      <c r="N398" s="733"/>
      <c r="O398" s="733">
        <v>0</v>
      </c>
      <c r="P398" s="733"/>
      <c r="Q398" s="733">
        <v>0</v>
      </c>
      <c r="R398" s="733"/>
      <c r="S398" s="170"/>
    </row>
    <row r="399" spans="1:19" s="66" customFormat="1" ht="13" hidden="1" x14ac:dyDescent="0.3">
      <c r="A399" s="62"/>
      <c r="B399" s="188" t="s">
        <v>622</v>
      </c>
      <c r="C399" s="191">
        <v>0</v>
      </c>
      <c r="D399" s="192" t="s">
        <v>73</v>
      </c>
      <c r="E399" s="63"/>
      <c r="F399" s="64"/>
      <c r="G399" s="64"/>
      <c r="H399" s="64"/>
      <c r="I399" s="64"/>
      <c r="J399" s="64"/>
      <c r="K399" s="64"/>
      <c r="L399" s="64"/>
      <c r="M399" s="64"/>
      <c r="N399" s="64"/>
      <c r="O399" s="64"/>
      <c r="P399" s="64"/>
      <c r="Q399" s="64"/>
      <c r="R399" s="64"/>
      <c r="S399" s="65"/>
    </row>
    <row r="400" spans="1:19" s="66" customFormat="1" ht="13.5" hidden="1" customHeight="1" x14ac:dyDescent="0.25">
      <c r="A400" s="62"/>
      <c r="B400" s="64"/>
      <c r="C400" s="64">
        <v>0</v>
      </c>
      <c r="D400" s="64"/>
      <c r="E400" s="659"/>
      <c r="F400" s="659"/>
      <c r="G400" s="64"/>
      <c r="H400" s="64"/>
      <c r="I400" s="64"/>
      <c r="J400" s="64"/>
      <c r="K400" s="64"/>
      <c r="L400" s="64"/>
      <c r="M400" s="64"/>
      <c r="N400" s="64"/>
      <c r="O400" s="64"/>
      <c r="P400" s="64"/>
      <c r="Q400" s="64"/>
      <c r="R400" s="64"/>
      <c r="S400" s="65"/>
    </row>
    <row r="401" spans="1:30" s="66" customFormat="1" hidden="1" x14ac:dyDescent="0.25">
      <c r="A401" s="62"/>
      <c r="B401" s="188" t="s">
        <v>623</v>
      </c>
      <c r="C401" s="734" t="b">
        <v>1</v>
      </c>
      <c r="D401" s="734"/>
      <c r="E401" s="734" t="b">
        <v>1</v>
      </c>
      <c r="F401" s="734"/>
      <c r="G401" s="734" t="b">
        <v>1</v>
      </c>
      <c r="H401" s="734"/>
      <c r="I401" s="734" t="b">
        <v>1</v>
      </c>
      <c r="J401" s="734"/>
      <c r="K401" s="734" t="b">
        <v>1</v>
      </c>
      <c r="L401" s="734"/>
      <c r="M401" s="734" t="b">
        <v>1</v>
      </c>
      <c r="N401" s="734"/>
      <c r="O401" s="734" t="b">
        <v>1</v>
      </c>
      <c r="P401" s="734"/>
      <c r="Q401" s="734" t="b">
        <v>1</v>
      </c>
      <c r="R401" s="735"/>
      <c r="S401" s="65"/>
    </row>
    <row r="402" spans="1:30" s="66" customFormat="1" hidden="1" x14ac:dyDescent="0.25">
      <c r="A402" s="62"/>
      <c r="B402" s="64"/>
      <c r="C402" s="64" t="b">
        <v>1</v>
      </c>
      <c r="D402" s="64"/>
      <c r="E402" s="64"/>
      <c r="F402" s="64"/>
      <c r="G402" s="64"/>
      <c r="H402" s="64"/>
      <c r="I402" s="64"/>
      <c r="J402" s="64"/>
      <c r="K402" s="64"/>
      <c r="L402" s="64"/>
      <c r="M402" s="64"/>
      <c r="N402" s="64"/>
      <c r="O402" s="64"/>
      <c r="P402" s="64"/>
      <c r="Q402" s="64"/>
      <c r="R402" s="64"/>
      <c r="S402" s="65"/>
    </row>
    <row r="403" spans="1:30" ht="13" thickBot="1" x14ac:dyDescent="0.3">
      <c r="A403" s="59"/>
      <c r="C403" s="46"/>
      <c r="S403" s="61"/>
    </row>
    <row r="404" spans="1:30" ht="16" thickBot="1" x14ac:dyDescent="0.3">
      <c r="A404" s="736" t="s">
        <v>266</v>
      </c>
      <c r="B404" s="737"/>
      <c r="C404" s="737"/>
      <c r="D404" s="737"/>
      <c r="E404" s="737"/>
      <c r="F404" s="737"/>
      <c r="G404" s="737"/>
      <c r="H404" s="737"/>
      <c r="I404" s="737"/>
      <c r="J404" s="737"/>
      <c r="K404" s="737"/>
      <c r="L404" s="737"/>
      <c r="M404" s="737"/>
      <c r="N404" s="737"/>
      <c r="O404" s="737"/>
      <c r="P404" s="737"/>
      <c r="Q404" s="737"/>
      <c r="R404" s="737"/>
      <c r="S404" s="738"/>
    </row>
    <row r="405" spans="1:30" ht="13.5" thickBot="1" x14ac:dyDescent="0.35">
      <c r="A405" s="59"/>
      <c r="B405" s="71"/>
      <c r="S405" s="193"/>
    </row>
    <row r="406" spans="1:30" ht="16" thickBot="1" x14ac:dyDescent="0.4">
      <c r="A406" s="59"/>
      <c r="B406" s="194" t="s">
        <v>267</v>
      </c>
      <c r="C406" s="739" t="str">
        <f>$C$80</f>
        <v>Line card (C-NET) FCL2001-A1</v>
      </c>
      <c r="D406" s="740"/>
      <c r="E406" s="740"/>
      <c r="F406" s="740"/>
      <c r="G406" s="740"/>
      <c r="H406" s="740"/>
      <c r="I406" s="740"/>
      <c r="J406" s="740"/>
      <c r="K406" s="740"/>
      <c r="L406" s="740"/>
      <c r="M406" s="740"/>
      <c r="N406" s="740"/>
      <c r="O406" s="740"/>
      <c r="P406" s="740"/>
      <c r="Q406" s="740"/>
      <c r="R406" s="741"/>
      <c r="S406" s="94"/>
    </row>
    <row r="407" spans="1:30" ht="16.5" customHeight="1" thickBot="1" x14ac:dyDescent="0.3">
      <c r="A407" s="59"/>
      <c r="B407" s="195"/>
      <c r="C407" s="729" t="str">
        <f>C$82</f>
        <v>Stub1_1</v>
      </c>
      <c r="D407" s="730"/>
      <c r="E407" s="730" t="str">
        <f>E$82</f>
        <v>Stub1_2</v>
      </c>
      <c r="F407" s="731"/>
      <c r="G407" s="729" t="str">
        <f>G$82</f>
        <v>Stub2_1</v>
      </c>
      <c r="H407" s="730"/>
      <c r="I407" s="730" t="str">
        <f>I$82</f>
        <v>Stub2_2</v>
      </c>
      <c r="J407" s="731"/>
      <c r="K407" s="729" t="str">
        <f>K$82</f>
        <v>Stub3_1</v>
      </c>
      <c r="L407" s="730"/>
      <c r="M407" s="730" t="str">
        <f>M$82</f>
        <v>Stub3_2</v>
      </c>
      <c r="N407" s="731"/>
      <c r="O407" s="729" t="str">
        <f>O$82</f>
        <v>Stub4_1</v>
      </c>
      <c r="P407" s="730"/>
      <c r="Q407" s="730" t="str">
        <f>Q$82</f>
        <v>Stub4_2</v>
      </c>
      <c r="R407" s="731"/>
      <c r="S407" s="61"/>
    </row>
    <row r="408" spans="1:30" x14ac:dyDescent="0.25">
      <c r="A408" s="59"/>
      <c r="B408" s="196" t="s">
        <v>624</v>
      </c>
      <c r="C408" s="197">
        <v>1</v>
      </c>
      <c r="D408" s="198" t="s">
        <v>268</v>
      </c>
      <c r="E408" s="199">
        <v>1</v>
      </c>
      <c r="F408" s="138" t="s">
        <v>268</v>
      </c>
      <c r="G408" s="197">
        <v>1</v>
      </c>
      <c r="H408" s="198" t="s">
        <v>268</v>
      </c>
      <c r="I408" s="199">
        <v>1</v>
      </c>
      <c r="J408" s="138" t="s">
        <v>268</v>
      </c>
      <c r="K408" s="197">
        <v>1</v>
      </c>
      <c r="L408" s="198" t="s">
        <v>268</v>
      </c>
      <c r="M408" s="199">
        <v>1</v>
      </c>
      <c r="N408" s="138" t="s">
        <v>268</v>
      </c>
      <c r="O408" s="197">
        <v>1</v>
      </c>
      <c r="P408" s="198" t="s">
        <v>268</v>
      </c>
      <c r="Q408" s="199">
        <v>1</v>
      </c>
      <c r="R408" s="138" t="s">
        <v>268</v>
      </c>
      <c r="S408" s="200"/>
      <c r="AD408" s="46"/>
    </row>
    <row r="409" spans="1:30" ht="12.75" customHeight="1" x14ac:dyDescent="0.25">
      <c r="A409" s="59"/>
      <c r="B409" s="201" t="s">
        <v>625</v>
      </c>
      <c r="C409" s="197">
        <v>1</v>
      </c>
      <c r="D409" s="155" t="s">
        <v>268</v>
      </c>
      <c r="E409" s="202">
        <v>1</v>
      </c>
      <c r="F409" s="138" t="s">
        <v>268</v>
      </c>
      <c r="G409" s="197">
        <v>1</v>
      </c>
      <c r="H409" s="155" t="s">
        <v>268</v>
      </c>
      <c r="I409" s="202">
        <v>1</v>
      </c>
      <c r="J409" s="138" t="s">
        <v>268</v>
      </c>
      <c r="K409" s="197">
        <v>1</v>
      </c>
      <c r="L409" s="155" t="s">
        <v>268</v>
      </c>
      <c r="M409" s="202">
        <v>1</v>
      </c>
      <c r="N409" s="138" t="s">
        <v>268</v>
      </c>
      <c r="O409" s="197">
        <v>1</v>
      </c>
      <c r="P409" s="155" t="s">
        <v>268</v>
      </c>
      <c r="Q409" s="202">
        <v>1</v>
      </c>
      <c r="R409" s="138" t="s">
        <v>268</v>
      </c>
      <c r="S409" s="200"/>
      <c r="AD409" s="46"/>
    </row>
    <row r="410" spans="1:30" x14ac:dyDescent="0.25">
      <c r="A410" s="59"/>
      <c r="B410" s="203" t="s">
        <v>269</v>
      </c>
      <c r="C410" s="204">
        <v>70</v>
      </c>
      <c r="D410" s="155" t="s">
        <v>270</v>
      </c>
      <c r="E410" s="205">
        <v>70</v>
      </c>
      <c r="F410" s="138" t="s">
        <v>270</v>
      </c>
      <c r="G410" s="204">
        <v>70</v>
      </c>
      <c r="H410" s="155" t="s">
        <v>270</v>
      </c>
      <c r="I410" s="205">
        <v>70</v>
      </c>
      <c r="J410" s="138" t="s">
        <v>270</v>
      </c>
      <c r="K410" s="204">
        <v>70</v>
      </c>
      <c r="L410" s="155" t="s">
        <v>270</v>
      </c>
      <c r="M410" s="205">
        <v>70</v>
      </c>
      <c r="N410" s="138" t="s">
        <v>270</v>
      </c>
      <c r="O410" s="204">
        <v>70</v>
      </c>
      <c r="P410" s="155" t="s">
        <v>270</v>
      </c>
      <c r="Q410" s="205">
        <v>70</v>
      </c>
      <c r="R410" s="138" t="s">
        <v>270</v>
      </c>
      <c r="S410" s="61"/>
    </row>
    <row r="411" spans="1:30" ht="13" thickBot="1" x14ac:dyDescent="0.3">
      <c r="A411" s="59"/>
      <c r="B411" s="206" t="s">
        <v>271</v>
      </c>
      <c r="C411" s="207">
        <v>70</v>
      </c>
      <c r="D411" s="186" t="s">
        <v>272</v>
      </c>
      <c r="E411" s="208">
        <v>70</v>
      </c>
      <c r="F411" s="185" t="s">
        <v>272</v>
      </c>
      <c r="G411" s="207">
        <v>70</v>
      </c>
      <c r="H411" s="186" t="s">
        <v>272</v>
      </c>
      <c r="I411" s="208">
        <v>70</v>
      </c>
      <c r="J411" s="185" t="s">
        <v>272</v>
      </c>
      <c r="K411" s="207">
        <v>70</v>
      </c>
      <c r="L411" s="186" t="s">
        <v>272</v>
      </c>
      <c r="M411" s="208">
        <v>70</v>
      </c>
      <c r="N411" s="185" t="s">
        <v>272</v>
      </c>
      <c r="O411" s="207">
        <v>70</v>
      </c>
      <c r="P411" s="186" t="s">
        <v>272</v>
      </c>
      <c r="Q411" s="208">
        <v>70</v>
      </c>
      <c r="R411" s="185" t="s">
        <v>272</v>
      </c>
      <c r="S411" s="61"/>
    </row>
    <row r="412" spans="1:30" ht="13" thickBot="1" x14ac:dyDescent="0.3">
      <c r="A412" s="59"/>
      <c r="B412" s="209"/>
      <c r="C412" s="348"/>
      <c r="D412" s="209"/>
      <c r="E412" s="209"/>
      <c r="F412" s="209"/>
      <c r="G412" s="209"/>
      <c r="H412" s="209"/>
      <c r="I412" s="209"/>
      <c r="J412" s="209"/>
      <c r="K412" s="209"/>
      <c r="L412" s="209"/>
      <c r="M412" s="209"/>
      <c r="N412" s="209"/>
      <c r="O412" s="209"/>
      <c r="P412" s="209"/>
      <c r="Q412" s="209"/>
      <c r="R412" s="209"/>
      <c r="S412" s="61"/>
    </row>
    <row r="413" spans="1:30" s="66" customFormat="1" ht="13.5" hidden="1" customHeight="1" x14ac:dyDescent="0.3">
      <c r="A413" s="62"/>
      <c r="B413" s="63"/>
      <c r="C413" s="63"/>
      <c r="D413" s="63"/>
      <c r="E413" s="63"/>
      <c r="F413" s="210"/>
      <c r="G413" s="210"/>
      <c r="H413" s="210"/>
      <c r="I413" s="210"/>
      <c r="J413" s="210"/>
      <c r="K413" s="210"/>
      <c r="L413" s="210"/>
      <c r="M413" s="210"/>
      <c r="N413" s="210"/>
      <c r="O413" s="210"/>
      <c r="P413" s="210"/>
      <c r="Q413" s="210"/>
      <c r="R413" s="210"/>
      <c r="S413" s="65"/>
    </row>
    <row r="414" spans="1:30" s="66" customFormat="1" ht="13.5" hidden="1" customHeight="1" x14ac:dyDescent="0.3">
      <c r="A414" s="62"/>
      <c r="B414" s="70" t="s">
        <v>626</v>
      </c>
      <c r="C414" s="733"/>
      <c r="D414" s="733"/>
      <c r="E414" s="733"/>
      <c r="F414" s="733"/>
      <c r="G414" s="733"/>
      <c r="H414" s="733"/>
      <c r="I414" s="733"/>
      <c r="J414" s="733"/>
      <c r="K414" s="733"/>
      <c r="L414" s="733"/>
      <c r="M414" s="733"/>
      <c r="N414" s="733"/>
      <c r="O414" s="733"/>
      <c r="P414" s="733"/>
      <c r="Q414" s="733"/>
      <c r="R414" s="733"/>
      <c r="S414" s="65"/>
    </row>
    <row r="415" spans="1:30" s="66" customFormat="1" ht="13.5" hidden="1" customHeight="1" x14ac:dyDescent="0.25">
      <c r="A415" s="62"/>
      <c r="B415" s="76" t="s">
        <v>961</v>
      </c>
      <c r="C415" s="733"/>
      <c r="D415" s="733"/>
      <c r="E415" s="733"/>
      <c r="F415" s="733"/>
      <c r="G415" s="733"/>
      <c r="H415" s="733"/>
      <c r="I415" s="733"/>
      <c r="J415" s="733"/>
      <c r="K415" s="733"/>
      <c r="L415" s="733"/>
      <c r="M415" s="733"/>
      <c r="N415" s="733"/>
      <c r="O415" s="733"/>
      <c r="P415" s="733"/>
      <c r="Q415" s="733"/>
      <c r="R415" s="733"/>
      <c r="S415" s="65"/>
    </row>
    <row r="416" spans="1:30" s="66" customFormat="1" ht="13.5" hidden="1" customHeight="1" x14ac:dyDescent="0.25">
      <c r="A416" s="62"/>
      <c r="B416" s="64"/>
      <c r="C416" s="733"/>
      <c r="D416" s="733"/>
      <c r="E416" s="733"/>
      <c r="F416" s="733"/>
      <c r="G416" s="733"/>
      <c r="H416" s="733"/>
      <c r="I416" s="733"/>
      <c r="J416" s="733"/>
      <c r="K416" s="733"/>
      <c r="L416" s="733"/>
      <c r="M416" s="733"/>
      <c r="N416" s="733"/>
      <c r="O416" s="733"/>
      <c r="P416" s="733"/>
      <c r="Q416" s="733"/>
      <c r="R416" s="733"/>
      <c r="S416" s="65"/>
    </row>
    <row r="417" spans="1:19" s="66" customFormat="1" ht="13.5" hidden="1" customHeight="1" x14ac:dyDescent="0.25">
      <c r="A417" s="62"/>
      <c r="B417" s="64"/>
      <c r="C417" s="733"/>
      <c r="D417" s="733"/>
      <c r="E417" s="733"/>
      <c r="F417" s="733"/>
      <c r="G417" s="733"/>
      <c r="H417" s="733"/>
      <c r="I417" s="733"/>
      <c r="J417" s="733"/>
      <c r="K417" s="733"/>
      <c r="L417" s="733"/>
      <c r="M417" s="733"/>
      <c r="N417" s="733"/>
      <c r="O417" s="733"/>
      <c r="P417" s="733"/>
      <c r="Q417" s="733"/>
      <c r="R417" s="733"/>
      <c r="S417" s="65"/>
    </row>
    <row r="418" spans="1:19" s="66" customFormat="1" ht="13.5" hidden="1" customHeight="1" x14ac:dyDescent="0.25">
      <c r="A418" s="62"/>
      <c r="B418" s="64"/>
      <c r="C418" s="659"/>
      <c r="D418" s="659"/>
      <c r="E418" s="659"/>
      <c r="F418" s="659"/>
      <c r="G418" s="659"/>
      <c r="H418" s="659"/>
      <c r="I418" s="659"/>
      <c r="J418" s="659"/>
      <c r="K418" s="659"/>
      <c r="L418" s="659"/>
      <c r="M418" s="659"/>
      <c r="N418" s="659"/>
      <c r="O418" s="659"/>
      <c r="P418" s="659"/>
      <c r="Q418" s="659"/>
      <c r="R418" s="659"/>
      <c r="S418" s="65"/>
    </row>
    <row r="419" spans="1:19" s="66" customFormat="1" ht="13.5" hidden="1" customHeight="1" x14ac:dyDescent="0.3">
      <c r="A419" s="62"/>
      <c r="B419" s="63"/>
      <c r="C419" s="63"/>
      <c r="D419" s="63"/>
      <c r="E419" s="659"/>
      <c r="F419" s="659"/>
      <c r="G419" s="659"/>
      <c r="H419" s="659"/>
      <c r="I419" s="659"/>
      <c r="J419" s="659"/>
      <c r="K419" s="659"/>
      <c r="L419" s="659"/>
      <c r="M419" s="659"/>
      <c r="N419" s="659"/>
      <c r="O419" s="659"/>
      <c r="P419" s="659"/>
      <c r="Q419" s="659"/>
      <c r="R419" s="659"/>
      <c r="S419" s="65"/>
    </row>
    <row r="420" spans="1:19" s="66" customFormat="1" ht="13.5" hidden="1" customHeight="1" x14ac:dyDescent="0.25">
      <c r="A420" s="62"/>
      <c r="B420" s="211"/>
      <c r="C420" s="64"/>
      <c r="D420" s="64"/>
      <c r="E420" s="659"/>
      <c r="F420" s="659"/>
      <c r="G420" s="659"/>
      <c r="H420" s="659"/>
      <c r="I420" s="659"/>
      <c r="J420" s="659"/>
      <c r="K420" s="659"/>
      <c r="L420" s="659"/>
      <c r="M420" s="659"/>
      <c r="N420" s="659"/>
      <c r="O420" s="659"/>
      <c r="P420" s="659"/>
      <c r="Q420" s="659"/>
      <c r="R420" s="659"/>
      <c r="S420" s="65"/>
    </row>
    <row r="421" spans="1:19" s="66" customFormat="1" ht="13.5" hidden="1" customHeight="1" x14ac:dyDescent="0.25">
      <c r="A421" s="62"/>
      <c r="B421" s="211"/>
      <c r="C421" s="64"/>
      <c r="D421" s="64"/>
      <c r="E421" s="659"/>
      <c r="F421" s="659"/>
      <c r="G421" s="659"/>
      <c r="H421" s="659"/>
      <c r="I421" s="659"/>
      <c r="J421" s="659"/>
      <c r="K421" s="659"/>
      <c r="L421" s="659"/>
      <c r="M421" s="659"/>
      <c r="N421" s="659"/>
      <c r="O421" s="659"/>
      <c r="P421" s="659"/>
      <c r="Q421" s="659"/>
      <c r="R421" s="659"/>
      <c r="S421" s="65"/>
    </row>
    <row r="422" spans="1:19" s="66" customFormat="1" ht="13.5" hidden="1" customHeight="1" x14ac:dyDescent="0.25">
      <c r="A422" s="62"/>
      <c r="B422" s="64"/>
      <c r="C422" s="659"/>
      <c r="D422" s="659"/>
      <c r="E422" s="659"/>
      <c r="F422" s="659"/>
      <c r="G422" s="659"/>
      <c r="H422" s="659"/>
      <c r="I422" s="659"/>
      <c r="J422" s="659"/>
      <c r="K422" s="659"/>
      <c r="L422" s="659"/>
      <c r="M422" s="659"/>
      <c r="N422" s="659"/>
      <c r="O422" s="659"/>
      <c r="P422" s="659"/>
      <c r="Q422" s="659"/>
      <c r="R422" s="659"/>
      <c r="S422" s="65"/>
    </row>
    <row r="423" spans="1:19" s="66" customFormat="1" ht="13.5" hidden="1" customHeight="1" x14ac:dyDescent="0.25">
      <c r="A423" s="62"/>
      <c r="B423" s="64"/>
      <c r="C423" s="659"/>
      <c r="D423" s="659"/>
      <c r="E423" s="659"/>
      <c r="F423" s="659"/>
      <c r="G423" s="659"/>
      <c r="H423" s="659"/>
      <c r="I423" s="659"/>
      <c r="J423" s="659"/>
      <c r="K423" s="659"/>
      <c r="L423" s="659"/>
      <c r="M423" s="659"/>
      <c r="N423" s="659"/>
      <c r="O423" s="659"/>
      <c r="P423" s="659"/>
      <c r="Q423" s="659"/>
      <c r="R423" s="659"/>
      <c r="S423" s="65"/>
    </row>
    <row r="424" spans="1:19" s="66" customFormat="1" ht="13.5" hidden="1" customHeight="1" x14ac:dyDescent="0.25">
      <c r="A424" s="62"/>
      <c r="B424" s="64"/>
      <c r="C424" s="659"/>
      <c r="D424" s="659"/>
      <c r="E424" s="659"/>
      <c r="F424" s="659"/>
      <c r="G424" s="659"/>
      <c r="H424" s="659"/>
      <c r="I424" s="659"/>
      <c r="J424" s="659"/>
      <c r="K424" s="659"/>
      <c r="L424" s="659"/>
      <c r="M424" s="659"/>
      <c r="N424" s="659"/>
      <c r="O424" s="659"/>
      <c r="P424" s="659"/>
      <c r="Q424" s="659"/>
      <c r="R424" s="659"/>
      <c r="S424" s="65"/>
    </row>
    <row r="425" spans="1:19" s="66" customFormat="1" ht="13.5" hidden="1" customHeight="1" x14ac:dyDescent="0.25">
      <c r="A425" s="62"/>
      <c r="B425" s="64"/>
      <c r="C425" s="659"/>
      <c r="D425" s="659"/>
      <c r="E425" s="659"/>
      <c r="F425" s="659"/>
      <c r="G425" s="659"/>
      <c r="H425" s="659"/>
      <c r="I425" s="659"/>
      <c r="J425" s="659"/>
      <c r="K425" s="659"/>
      <c r="L425" s="659"/>
      <c r="M425" s="659"/>
      <c r="N425" s="659"/>
      <c r="O425" s="659"/>
      <c r="P425" s="659"/>
      <c r="Q425" s="659"/>
      <c r="R425" s="659"/>
      <c r="S425" s="65"/>
    </row>
    <row r="426" spans="1:19" s="66" customFormat="1" ht="13.5" hidden="1" customHeight="1" x14ac:dyDescent="0.25">
      <c r="A426" s="62"/>
      <c r="B426" s="64"/>
      <c r="C426" s="659"/>
      <c r="D426" s="659"/>
      <c r="E426" s="659"/>
      <c r="F426" s="659"/>
      <c r="G426" s="659"/>
      <c r="H426" s="659"/>
      <c r="I426" s="659"/>
      <c r="J426" s="659"/>
      <c r="K426" s="659"/>
      <c r="L426" s="659"/>
      <c r="M426" s="659"/>
      <c r="N426" s="659"/>
      <c r="O426" s="659"/>
      <c r="P426" s="659"/>
      <c r="Q426" s="659"/>
      <c r="R426" s="659"/>
      <c r="S426" s="65"/>
    </row>
    <row r="427" spans="1:19" s="66" customFormat="1" ht="13.5" hidden="1" customHeight="1" x14ac:dyDescent="0.25">
      <c r="A427" s="62"/>
      <c r="B427" s="64"/>
      <c r="C427" s="659"/>
      <c r="D427" s="659"/>
      <c r="E427" s="659"/>
      <c r="F427" s="659"/>
      <c r="G427" s="659"/>
      <c r="H427" s="659"/>
      <c r="I427" s="659"/>
      <c r="J427" s="659"/>
      <c r="K427" s="659"/>
      <c r="L427" s="659"/>
      <c r="M427" s="659"/>
      <c r="N427" s="659"/>
      <c r="O427" s="659"/>
      <c r="P427" s="659"/>
      <c r="Q427" s="659"/>
      <c r="R427" s="659"/>
      <c r="S427" s="65"/>
    </row>
    <row r="428" spans="1:19" s="66" customFormat="1" ht="13.5" hidden="1" customHeight="1" x14ac:dyDescent="0.25">
      <c r="A428" s="62"/>
      <c r="B428" s="64"/>
      <c r="C428" s="659"/>
      <c r="D428" s="659"/>
      <c r="E428" s="659"/>
      <c r="F428" s="659"/>
      <c r="G428" s="659"/>
      <c r="H428" s="659"/>
      <c r="I428" s="659"/>
      <c r="J428" s="659"/>
      <c r="K428" s="659"/>
      <c r="L428" s="659"/>
      <c r="M428" s="659"/>
      <c r="N428" s="659"/>
      <c r="O428" s="659"/>
      <c r="P428" s="659"/>
      <c r="Q428" s="659"/>
      <c r="R428" s="659"/>
      <c r="S428" s="65"/>
    </row>
    <row r="429" spans="1:19" s="66" customFormat="1" ht="13.5" hidden="1" customHeight="1" x14ac:dyDescent="0.25">
      <c r="A429" s="62"/>
      <c r="B429" s="64"/>
      <c r="C429" s="659"/>
      <c r="D429" s="659"/>
      <c r="E429" s="659"/>
      <c r="F429" s="659"/>
      <c r="G429" s="659"/>
      <c r="H429" s="659"/>
      <c r="I429" s="659"/>
      <c r="J429" s="659"/>
      <c r="K429" s="659"/>
      <c r="L429" s="659"/>
      <c r="M429" s="659"/>
      <c r="N429" s="659"/>
      <c r="O429" s="659"/>
      <c r="P429" s="659"/>
      <c r="Q429" s="659"/>
      <c r="R429" s="659"/>
      <c r="S429" s="65"/>
    </row>
    <row r="430" spans="1:19" s="66" customFormat="1" ht="13.5" hidden="1" customHeight="1" x14ac:dyDescent="0.3">
      <c r="A430" s="62"/>
      <c r="B430" s="64"/>
      <c r="C430" s="70" t="s">
        <v>627</v>
      </c>
      <c r="D430" s="659"/>
      <c r="E430" s="70" t="s">
        <v>627</v>
      </c>
      <c r="F430" s="659"/>
      <c r="G430" s="70" t="s">
        <v>627</v>
      </c>
      <c r="H430" s="659"/>
      <c r="I430" s="70" t="s">
        <v>627</v>
      </c>
      <c r="J430" s="659"/>
      <c r="K430" s="70" t="s">
        <v>627</v>
      </c>
      <c r="L430" s="659"/>
      <c r="M430" s="70" t="s">
        <v>627</v>
      </c>
      <c r="N430" s="659"/>
      <c r="O430" s="70" t="s">
        <v>627</v>
      </c>
      <c r="P430" s="659"/>
      <c r="Q430" s="70" t="s">
        <v>627</v>
      </c>
      <c r="R430" s="659"/>
      <c r="S430" s="65"/>
    </row>
    <row r="431" spans="1:19" s="66" customFormat="1" ht="13.5" hidden="1" customHeight="1" x14ac:dyDescent="0.25">
      <c r="A431" s="62"/>
      <c r="B431" s="64"/>
      <c r="C431" s="76" t="s">
        <v>962</v>
      </c>
      <c r="D431" s="659"/>
      <c r="E431" s="76" t="s">
        <v>962</v>
      </c>
      <c r="F431" s="659"/>
      <c r="G431" s="76" t="s">
        <v>962</v>
      </c>
      <c r="H431" s="659"/>
      <c r="I431" s="76" t="s">
        <v>962</v>
      </c>
      <c r="J431" s="659"/>
      <c r="K431" s="76" t="s">
        <v>962</v>
      </c>
      <c r="L431" s="659"/>
      <c r="M431" s="76" t="s">
        <v>962</v>
      </c>
      <c r="N431" s="659"/>
      <c r="O431" s="76" t="s">
        <v>962</v>
      </c>
      <c r="P431" s="659"/>
      <c r="Q431" s="76" t="s">
        <v>962</v>
      </c>
      <c r="R431" s="659"/>
      <c r="S431" s="65"/>
    </row>
    <row r="432" spans="1:19" s="66" customFormat="1" ht="13.5" hidden="1" customHeight="1" x14ac:dyDescent="0.25">
      <c r="A432" s="62"/>
      <c r="B432" s="64"/>
      <c r="C432" s="659"/>
      <c r="D432" s="659"/>
      <c r="E432" s="659"/>
      <c r="F432" s="659"/>
      <c r="G432" s="659"/>
      <c r="H432" s="659"/>
      <c r="I432" s="659"/>
      <c r="J432" s="659"/>
      <c r="K432" s="659"/>
      <c r="L432" s="659"/>
      <c r="M432" s="659"/>
      <c r="N432" s="659"/>
      <c r="O432" s="659"/>
      <c r="P432" s="659"/>
      <c r="Q432" s="659"/>
      <c r="R432" s="659"/>
      <c r="S432" s="65"/>
    </row>
    <row r="433" spans="1:30" s="66" customFormat="1" ht="13.5" hidden="1" customHeight="1" x14ac:dyDescent="0.25">
      <c r="A433" s="62"/>
      <c r="B433" s="64"/>
      <c r="C433" s="659"/>
      <c r="D433" s="659"/>
      <c r="E433" s="659"/>
      <c r="F433" s="659"/>
      <c r="G433" s="659"/>
      <c r="H433" s="659"/>
      <c r="I433" s="659"/>
      <c r="J433" s="659"/>
      <c r="K433" s="659"/>
      <c r="L433" s="659"/>
      <c r="M433" s="659"/>
      <c r="N433" s="659"/>
      <c r="O433" s="659"/>
      <c r="P433" s="659"/>
      <c r="Q433" s="659"/>
      <c r="R433" s="659"/>
      <c r="S433" s="65"/>
    </row>
    <row r="434" spans="1:30" s="66" customFormat="1" ht="13.5" hidden="1" customHeight="1" thickBot="1" x14ac:dyDescent="0.3">
      <c r="A434" s="62"/>
      <c r="B434" s="64"/>
      <c r="C434" s="659"/>
      <c r="D434" s="659"/>
      <c r="E434" s="659"/>
      <c r="F434" s="659"/>
      <c r="G434" s="659"/>
      <c r="H434" s="659"/>
      <c r="I434" s="659"/>
      <c r="J434" s="659"/>
      <c r="K434" s="659"/>
      <c r="L434" s="659"/>
      <c r="M434" s="659"/>
      <c r="N434" s="659"/>
      <c r="O434" s="659"/>
      <c r="P434" s="659"/>
      <c r="Q434" s="659"/>
      <c r="R434" s="659"/>
      <c r="S434" s="65"/>
    </row>
    <row r="435" spans="1:30" ht="16" thickBot="1" x14ac:dyDescent="0.4">
      <c r="A435" s="59"/>
      <c r="B435" s="194" t="s">
        <v>628</v>
      </c>
      <c r="C435" s="739" t="str">
        <f>$C$80</f>
        <v>Line card (C-NET) FCL2001-A1</v>
      </c>
      <c r="D435" s="740"/>
      <c r="E435" s="740"/>
      <c r="F435" s="740"/>
      <c r="G435" s="740"/>
      <c r="H435" s="740"/>
      <c r="I435" s="740"/>
      <c r="J435" s="740"/>
      <c r="K435" s="740"/>
      <c r="L435" s="740"/>
      <c r="M435" s="740"/>
      <c r="N435" s="740"/>
      <c r="O435" s="740"/>
      <c r="P435" s="740"/>
      <c r="Q435" s="740"/>
      <c r="R435" s="741"/>
      <c r="S435" s="94"/>
    </row>
    <row r="436" spans="1:30" ht="39.75" customHeight="1" thickBot="1" x14ac:dyDescent="0.3">
      <c r="A436" s="59"/>
      <c r="B436" s="95"/>
      <c r="C436" s="715"/>
      <c r="D436" s="716"/>
      <c r="E436" s="716"/>
      <c r="F436" s="717"/>
      <c r="G436" s="718"/>
      <c r="H436" s="719"/>
      <c r="I436" s="719"/>
      <c r="J436" s="720"/>
      <c r="K436" s="718"/>
      <c r="L436" s="719"/>
      <c r="M436" s="719"/>
      <c r="N436" s="720"/>
      <c r="O436" s="718"/>
      <c r="P436" s="719"/>
      <c r="Q436" s="719"/>
      <c r="R436" s="720"/>
      <c r="S436" s="94"/>
    </row>
    <row r="437" spans="1:30" ht="16.5" customHeight="1" thickBot="1" x14ac:dyDescent="0.3">
      <c r="A437" s="59"/>
      <c r="B437" s="195"/>
      <c r="C437" s="729" t="str">
        <f>C$82</f>
        <v>Stub1_1</v>
      </c>
      <c r="D437" s="730"/>
      <c r="E437" s="730" t="str">
        <f>E$82</f>
        <v>Stub1_2</v>
      </c>
      <c r="F437" s="731"/>
      <c r="G437" s="729" t="str">
        <f>G$82</f>
        <v>Stub2_1</v>
      </c>
      <c r="H437" s="730"/>
      <c r="I437" s="730" t="str">
        <f>I$82</f>
        <v>Stub2_2</v>
      </c>
      <c r="J437" s="731"/>
      <c r="K437" s="729" t="str">
        <f>K$82</f>
        <v>Stub3_1</v>
      </c>
      <c r="L437" s="730"/>
      <c r="M437" s="730" t="str">
        <f>M$82</f>
        <v>Stub3_2</v>
      </c>
      <c r="N437" s="731"/>
      <c r="O437" s="729" t="str">
        <f>O$82</f>
        <v>Stub4_1</v>
      </c>
      <c r="P437" s="730"/>
      <c r="Q437" s="730" t="str">
        <f>Q$82</f>
        <v>Stub4_2</v>
      </c>
      <c r="R437" s="731"/>
      <c r="S437" s="61"/>
    </row>
    <row r="438" spans="1:30" x14ac:dyDescent="0.25">
      <c r="A438" s="59"/>
      <c r="B438" s="196" t="s">
        <v>629</v>
      </c>
      <c r="C438" s="212">
        <v>1</v>
      </c>
      <c r="D438" s="198" t="s">
        <v>268</v>
      </c>
      <c r="E438" s="213">
        <v>1</v>
      </c>
      <c r="F438" s="214" t="s">
        <v>268</v>
      </c>
      <c r="G438" s="212">
        <v>1</v>
      </c>
      <c r="H438" s="198" t="s">
        <v>268</v>
      </c>
      <c r="I438" s="213">
        <v>1</v>
      </c>
      <c r="J438" s="214" t="s">
        <v>268</v>
      </c>
      <c r="K438" s="212">
        <v>1</v>
      </c>
      <c r="L438" s="198" t="s">
        <v>268</v>
      </c>
      <c r="M438" s="213">
        <v>1</v>
      </c>
      <c r="N438" s="214" t="s">
        <v>268</v>
      </c>
      <c r="O438" s="212">
        <v>1</v>
      </c>
      <c r="P438" s="198" t="s">
        <v>268</v>
      </c>
      <c r="Q438" s="213">
        <v>1</v>
      </c>
      <c r="R438" s="214" t="s">
        <v>268</v>
      </c>
      <c r="S438" s="200"/>
      <c r="AD438" s="46"/>
    </row>
    <row r="439" spans="1:30" hidden="1" x14ac:dyDescent="0.25">
      <c r="A439" s="215"/>
      <c r="B439" s="216"/>
      <c r="C439" s="217"/>
      <c r="D439" s="218"/>
      <c r="E439" s="217"/>
      <c r="F439" s="218"/>
      <c r="G439" s="217"/>
      <c r="H439" s="218"/>
      <c r="I439" s="217"/>
      <c r="J439" s="218"/>
      <c r="K439" s="217"/>
      <c r="L439" s="218"/>
      <c r="M439" s="217"/>
      <c r="N439" s="218"/>
      <c r="O439" s="217"/>
      <c r="P439" s="218"/>
      <c r="Q439" s="217"/>
      <c r="R439" s="218"/>
      <c r="S439" s="219"/>
      <c r="AD439" s="46"/>
    </row>
    <row r="440" spans="1:30" ht="12.75" customHeight="1" x14ac:dyDescent="0.25">
      <c r="A440" s="59"/>
      <c r="B440" s="201" t="s">
        <v>630</v>
      </c>
      <c r="C440" s="220">
        <v>0</v>
      </c>
      <c r="D440" s="155" t="s">
        <v>268</v>
      </c>
      <c r="E440" s="221">
        <v>0</v>
      </c>
      <c r="F440" s="138" t="s">
        <v>268</v>
      </c>
      <c r="G440" s="220">
        <v>0</v>
      </c>
      <c r="H440" s="155" t="s">
        <v>268</v>
      </c>
      <c r="I440" s="221">
        <v>0</v>
      </c>
      <c r="J440" s="138" t="s">
        <v>268</v>
      </c>
      <c r="K440" s="220">
        <v>0</v>
      </c>
      <c r="L440" s="155" t="s">
        <v>268</v>
      </c>
      <c r="M440" s="221">
        <v>0</v>
      </c>
      <c r="N440" s="138" t="s">
        <v>268</v>
      </c>
      <c r="O440" s="220">
        <v>0</v>
      </c>
      <c r="P440" s="155" t="s">
        <v>268</v>
      </c>
      <c r="Q440" s="221">
        <v>0</v>
      </c>
      <c r="R440" s="138" t="s">
        <v>268</v>
      </c>
      <c r="S440" s="200"/>
      <c r="AD440" s="46"/>
    </row>
    <row r="441" spans="1:30" ht="12.75" hidden="1" customHeight="1" x14ac:dyDescent="0.25">
      <c r="A441" s="215"/>
      <c r="B441" s="216"/>
      <c r="C441" s="217"/>
      <c r="D441" s="222"/>
      <c r="E441" s="223"/>
      <c r="F441" s="218"/>
      <c r="G441" s="217"/>
      <c r="H441" s="222"/>
      <c r="I441" s="223"/>
      <c r="J441" s="218"/>
      <c r="K441" s="217"/>
      <c r="L441" s="222"/>
      <c r="M441" s="223"/>
      <c r="N441" s="218"/>
      <c r="O441" s="217"/>
      <c r="P441" s="222"/>
      <c r="Q441" s="223"/>
      <c r="R441" s="218"/>
      <c r="S441" s="219"/>
      <c r="AD441" s="46"/>
    </row>
    <row r="442" spans="1:30" ht="13" thickBot="1" x14ac:dyDescent="0.3">
      <c r="A442" s="59"/>
      <c r="B442" s="206" t="s">
        <v>483</v>
      </c>
      <c r="C442" s="224">
        <v>0</v>
      </c>
      <c r="D442" s="225" t="s">
        <v>268</v>
      </c>
      <c r="E442" s="226">
        <v>0</v>
      </c>
      <c r="F442" s="227" t="s">
        <v>268</v>
      </c>
      <c r="G442" s="224">
        <v>0</v>
      </c>
      <c r="H442" s="225" t="s">
        <v>268</v>
      </c>
      <c r="I442" s="226">
        <v>0</v>
      </c>
      <c r="J442" s="227" t="s">
        <v>268</v>
      </c>
      <c r="K442" s="224">
        <v>0</v>
      </c>
      <c r="L442" s="225" t="s">
        <v>268</v>
      </c>
      <c r="M442" s="226">
        <v>0</v>
      </c>
      <c r="N442" s="227" t="s">
        <v>268</v>
      </c>
      <c r="O442" s="224">
        <v>0</v>
      </c>
      <c r="P442" s="225" t="s">
        <v>268</v>
      </c>
      <c r="Q442" s="226">
        <v>0</v>
      </c>
      <c r="R442" s="227" t="s">
        <v>268</v>
      </c>
      <c r="S442" s="61"/>
    </row>
    <row r="443" spans="1:30" hidden="1" x14ac:dyDescent="0.25">
      <c r="A443" s="215"/>
      <c r="B443" s="228" t="s">
        <v>631</v>
      </c>
      <c r="C443" s="229">
        <v>1.0000000000000001E-5</v>
      </c>
      <c r="D443" s="228" t="s">
        <v>268</v>
      </c>
      <c r="E443" s="229">
        <v>0</v>
      </c>
      <c r="F443" s="228" t="s">
        <v>268</v>
      </c>
      <c r="G443" s="229">
        <v>3.4482758620689656E-7</v>
      </c>
      <c r="H443" s="228" t="s">
        <v>268</v>
      </c>
      <c r="I443" s="229">
        <v>0</v>
      </c>
      <c r="J443" s="228" t="s">
        <v>268</v>
      </c>
      <c r="K443" s="229">
        <v>3.4482758620689655E-2</v>
      </c>
      <c r="L443" s="228" t="s">
        <v>268</v>
      </c>
      <c r="M443" s="229">
        <v>0</v>
      </c>
      <c r="N443" s="228" t="s">
        <v>268</v>
      </c>
      <c r="O443" s="229">
        <v>3.4482758620689657E-5</v>
      </c>
      <c r="P443" s="228" t="s">
        <v>268</v>
      </c>
      <c r="Q443" s="229">
        <v>0</v>
      </c>
      <c r="R443" s="228" t="s">
        <v>268</v>
      </c>
      <c r="S443" s="230"/>
    </row>
    <row r="444" spans="1:30" s="66" customFormat="1" ht="13.5" hidden="1" customHeight="1" x14ac:dyDescent="0.25">
      <c r="A444" s="231"/>
      <c r="B444" s="228" t="s">
        <v>632</v>
      </c>
      <c r="C444" s="229">
        <v>1.0000000000000001E-5</v>
      </c>
      <c r="D444" s="228" t="s">
        <v>268</v>
      </c>
      <c r="E444" s="229">
        <v>0</v>
      </c>
      <c r="F444" s="228" t="s">
        <v>268</v>
      </c>
      <c r="G444" s="229">
        <v>1.1111111111111112E-6</v>
      </c>
      <c r="H444" s="228" t="s">
        <v>268</v>
      </c>
      <c r="I444" s="229">
        <v>0</v>
      </c>
      <c r="J444" s="228" t="s">
        <v>268</v>
      </c>
      <c r="K444" s="229">
        <v>0.1111111111111111</v>
      </c>
      <c r="L444" s="228" t="s">
        <v>268</v>
      </c>
      <c r="M444" s="229">
        <v>0</v>
      </c>
      <c r="N444" s="228" t="s">
        <v>268</v>
      </c>
      <c r="O444" s="229">
        <v>1.1111111111111112E-4</v>
      </c>
      <c r="P444" s="228" t="s">
        <v>268</v>
      </c>
      <c r="Q444" s="229">
        <v>0</v>
      </c>
      <c r="R444" s="228" t="s">
        <v>268</v>
      </c>
      <c r="S444" s="232"/>
    </row>
    <row r="445" spans="1:30" s="66" customFormat="1" ht="13.5" hidden="1" customHeight="1" x14ac:dyDescent="0.25">
      <c r="A445" s="62"/>
      <c r="B445" s="64"/>
      <c r="C445" s="659"/>
      <c r="D445" s="659"/>
      <c r="E445" s="659"/>
      <c r="F445" s="659"/>
      <c r="G445" s="659"/>
      <c r="H445" s="659"/>
      <c r="I445" s="659"/>
      <c r="J445" s="659"/>
      <c r="K445" s="659"/>
      <c r="L445" s="659"/>
      <c r="M445" s="659"/>
      <c r="N445" s="659"/>
      <c r="O445" s="659"/>
      <c r="P445" s="659"/>
      <c r="Q445" s="659"/>
      <c r="R445" s="659"/>
      <c r="S445" s="65"/>
    </row>
    <row r="446" spans="1:30" s="66" customFormat="1" ht="13.5" hidden="1" customHeight="1" x14ac:dyDescent="0.25">
      <c r="A446" s="62"/>
      <c r="B446" s="64"/>
      <c r="C446" s="659"/>
      <c r="D446" s="659"/>
      <c r="E446" s="659"/>
      <c r="F446" s="659"/>
      <c r="G446" s="659"/>
      <c r="H446" s="659"/>
      <c r="I446" s="659"/>
      <c r="J446" s="659"/>
      <c r="K446" s="659"/>
      <c r="L446" s="659"/>
      <c r="M446" s="659"/>
      <c r="N446" s="659"/>
      <c r="O446" s="659"/>
      <c r="P446" s="659"/>
      <c r="Q446" s="659"/>
      <c r="R446" s="659"/>
      <c r="S446" s="65"/>
    </row>
    <row r="447" spans="1:30" s="66" customFormat="1" ht="13.5" hidden="1" customHeight="1" x14ac:dyDescent="0.25">
      <c r="A447" s="62"/>
      <c r="B447" s="64"/>
      <c r="C447" s="659"/>
      <c r="D447" s="659"/>
      <c r="E447" s="659"/>
      <c r="F447" s="659"/>
      <c r="G447" s="659"/>
      <c r="H447" s="659"/>
      <c r="I447" s="659"/>
      <c r="J447" s="659"/>
      <c r="K447" s="659"/>
      <c r="L447" s="659"/>
      <c r="M447" s="659"/>
      <c r="N447" s="659"/>
      <c r="O447" s="659"/>
      <c r="P447" s="659"/>
      <c r="Q447" s="659"/>
      <c r="R447" s="659"/>
      <c r="S447" s="65"/>
    </row>
    <row r="448" spans="1:30" s="66" customFormat="1" ht="13.5" hidden="1" customHeight="1" x14ac:dyDescent="0.25">
      <c r="A448" s="62"/>
      <c r="B448" s="188" t="s">
        <v>633</v>
      </c>
      <c r="C448" s="734" t="b">
        <v>1</v>
      </c>
      <c r="D448" s="734"/>
      <c r="E448" s="734" t="b">
        <v>1</v>
      </c>
      <c r="F448" s="734"/>
      <c r="G448" s="734" t="b">
        <v>1</v>
      </c>
      <c r="H448" s="734"/>
      <c r="I448" s="734" t="b">
        <v>1</v>
      </c>
      <c r="J448" s="734"/>
      <c r="K448" s="734" t="b">
        <v>1</v>
      </c>
      <c r="L448" s="734"/>
      <c r="M448" s="734" t="b">
        <v>1</v>
      </c>
      <c r="N448" s="734"/>
      <c r="O448" s="734" t="b">
        <v>1</v>
      </c>
      <c r="P448" s="734"/>
      <c r="Q448" s="734" t="b">
        <v>1</v>
      </c>
      <c r="R448" s="735"/>
      <c r="S448" s="65"/>
    </row>
    <row r="449" spans="1:19" s="66" customFormat="1" ht="13.5" hidden="1" customHeight="1" x14ac:dyDescent="0.25">
      <c r="A449" s="62"/>
      <c r="B449" s="64"/>
      <c r="C449" s="659" t="b">
        <v>1</v>
      </c>
      <c r="D449" s="659"/>
      <c r="E449" s="659"/>
      <c r="F449" s="659"/>
      <c r="G449" s="659"/>
      <c r="H449" s="659"/>
      <c r="I449" s="659"/>
      <c r="J449" s="659"/>
      <c r="K449" s="659"/>
      <c r="L449" s="659"/>
      <c r="M449" s="659"/>
      <c r="N449" s="659"/>
      <c r="O449" s="659"/>
      <c r="P449" s="659"/>
      <c r="Q449" s="659"/>
      <c r="R449" s="659"/>
      <c r="S449" s="65"/>
    </row>
    <row r="450" spans="1:19" s="66" customFormat="1" ht="13.5" hidden="1" customHeight="1" x14ac:dyDescent="0.25">
      <c r="A450" s="62"/>
      <c r="B450" s="64"/>
      <c r="C450" s="659"/>
      <c r="D450" s="659"/>
      <c r="E450" s="659"/>
      <c r="F450" s="659"/>
      <c r="G450" s="659"/>
      <c r="H450" s="659"/>
      <c r="I450" s="659"/>
      <c r="J450" s="659"/>
      <c r="K450" s="659"/>
      <c r="L450" s="659"/>
      <c r="M450" s="659"/>
      <c r="N450" s="659"/>
      <c r="O450" s="659"/>
      <c r="P450" s="659"/>
      <c r="Q450" s="659"/>
      <c r="R450" s="659"/>
      <c r="S450" s="65"/>
    </row>
    <row r="451" spans="1:19" s="66" customFormat="1" ht="13.5" hidden="1" customHeight="1" x14ac:dyDescent="0.25">
      <c r="A451" s="62"/>
      <c r="B451" s="64"/>
      <c r="C451" s="659"/>
      <c r="D451" s="659"/>
      <c r="E451" s="659"/>
      <c r="F451" s="659"/>
      <c r="G451" s="659"/>
      <c r="H451" s="659"/>
      <c r="I451" s="659"/>
      <c r="J451" s="659"/>
      <c r="K451" s="659"/>
      <c r="L451" s="659"/>
      <c r="M451" s="659"/>
      <c r="N451" s="659"/>
      <c r="O451" s="659"/>
      <c r="P451" s="659"/>
      <c r="Q451" s="659"/>
      <c r="R451" s="659"/>
      <c r="S451" s="65"/>
    </row>
    <row r="452" spans="1:19" s="66" customFormat="1" ht="13.5" hidden="1" customHeight="1" x14ac:dyDescent="0.25">
      <c r="A452" s="62"/>
      <c r="B452" s="64"/>
      <c r="C452" s="659"/>
      <c r="D452" s="659"/>
      <c r="E452" s="659"/>
      <c r="F452" s="659"/>
      <c r="G452" s="659"/>
      <c r="H452" s="659"/>
      <c r="I452" s="659"/>
      <c r="J452" s="659"/>
      <c r="K452" s="659"/>
      <c r="L452" s="659"/>
      <c r="M452" s="659"/>
      <c r="N452" s="659"/>
      <c r="O452" s="659"/>
      <c r="P452" s="659"/>
      <c r="Q452" s="659"/>
      <c r="R452" s="659"/>
      <c r="S452" s="65"/>
    </row>
    <row r="453" spans="1:19" s="66" customFormat="1" ht="13.5" hidden="1" customHeight="1" x14ac:dyDescent="0.25">
      <c r="A453" s="62"/>
      <c r="B453" s="64"/>
      <c r="C453" s="64"/>
      <c r="D453" s="64"/>
      <c r="E453" s="64"/>
      <c r="F453" s="64"/>
      <c r="G453" s="64"/>
      <c r="H453" s="64"/>
      <c r="I453" s="64"/>
      <c r="J453" s="64"/>
      <c r="K453" s="64"/>
      <c r="L453" s="64"/>
      <c r="M453" s="64"/>
      <c r="N453" s="64"/>
      <c r="O453" s="64"/>
      <c r="P453" s="64"/>
      <c r="Q453" s="64"/>
      <c r="R453" s="64"/>
      <c r="S453" s="65"/>
    </row>
    <row r="454" spans="1:19" s="66" customFormat="1" ht="13.5" hidden="1" customHeight="1" x14ac:dyDescent="0.25">
      <c r="A454" s="62"/>
      <c r="B454" s="64"/>
      <c r="C454" s="64"/>
      <c r="D454" s="64"/>
      <c r="E454" s="64"/>
      <c r="F454" s="64"/>
      <c r="G454" s="64"/>
      <c r="H454" s="64"/>
      <c r="I454" s="64"/>
      <c r="J454" s="64"/>
      <c r="K454" s="64"/>
      <c r="L454" s="64"/>
      <c r="M454" s="64"/>
      <c r="N454" s="64"/>
      <c r="O454" s="64"/>
      <c r="P454" s="64"/>
      <c r="Q454" s="64"/>
      <c r="R454" s="64"/>
      <c r="S454" s="65"/>
    </row>
    <row r="455" spans="1:19" s="66" customFormat="1" ht="13" hidden="1" x14ac:dyDescent="0.3">
      <c r="A455" s="62"/>
      <c r="B455" s="63"/>
      <c r="C455" s="63"/>
      <c r="D455" s="63"/>
      <c r="E455" s="63"/>
      <c r="F455" s="64"/>
      <c r="G455" s="64"/>
      <c r="H455" s="64"/>
      <c r="I455" s="64"/>
      <c r="J455" s="64"/>
      <c r="K455" s="64"/>
      <c r="L455" s="64"/>
      <c r="M455" s="64"/>
      <c r="N455" s="64"/>
      <c r="O455" s="64"/>
      <c r="P455" s="64"/>
      <c r="Q455" s="64"/>
      <c r="R455" s="64"/>
      <c r="S455" s="65"/>
    </row>
    <row r="456" spans="1:19" s="66" customFormat="1" hidden="1" x14ac:dyDescent="0.25">
      <c r="A456" s="62"/>
      <c r="B456" s="64"/>
      <c r="C456" s="64"/>
      <c r="D456" s="64"/>
      <c r="E456" s="64"/>
      <c r="F456" s="64"/>
      <c r="G456" s="64"/>
      <c r="H456" s="64"/>
      <c r="I456" s="64"/>
      <c r="J456" s="64"/>
      <c r="K456" s="64"/>
      <c r="L456" s="64"/>
      <c r="M456" s="64"/>
      <c r="N456" s="64"/>
      <c r="O456" s="64"/>
      <c r="P456" s="64"/>
      <c r="Q456" s="64"/>
      <c r="R456" s="64"/>
      <c r="S456" s="65"/>
    </row>
    <row r="457" spans="1:19" s="66" customFormat="1" hidden="1" x14ac:dyDescent="0.25">
      <c r="A457" s="62"/>
      <c r="B457" s="64"/>
      <c r="C457" s="64"/>
      <c r="D457" s="64"/>
      <c r="E457" s="64"/>
      <c r="F457" s="64"/>
      <c r="G457" s="64"/>
      <c r="H457" s="64"/>
      <c r="I457" s="64"/>
      <c r="J457" s="64"/>
      <c r="K457" s="64"/>
      <c r="L457" s="64"/>
      <c r="M457" s="64"/>
      <c r="N457" s="64"/>
      <c r="O457" s="64"/>
      <c r="P457" s="64"/>
      <c r="Q457" s="64"/>
      <c r="R457" s="64"/>
      <c r="S457" s="65"/>
    </row>
    <row r="458" spans="1:19" s="66" customFormat="1" hidden="1" x14ac:dyDescent="0.25">
      <c r="A458" s="62"/>
      <c r="B458" s="64"/>
      <c r="C458" s="64"/>
      <c r="D458" s="64"/>
      <c r="E458" s="64"/>
      <c r="F458" s="64"/>
      <c r="G458" s="64"/>
      <c r="H458" s="64"/>
      <c r="I458" s="64"/>
      <c r="J458" s="64"/>
      <c r="K458" s="64"/>
      <c r="L458" s="64"/>
      <c r="M458" s="64"/>
      <c r="N458" s="64"/>
      <c r="O458" s="64"/>
      <c r="P458" s="64"/>
      <c r="Q458" s="64"/>
      <c r="R458" s="64"/>
      <c r="S458" s="65"/>
    </row>
    <row r="459" spans="1:19" s="66" customFormat="1" hidden="1" x14ac:dyDescent="0.25">
      <c r="A459" s="62"/>
      <c r="B459" s="64"/>
      <c r="C459" s="64"/>
      <c r="D459" s="64"/>
      <c r="E459" s="64"/>
      <c r="F459" s="64"/>
      <c r="G459" s="64"/>
      <c r="H459" s="64"/>
      <c r="I459" s="64"/>
      <c r="J459" s="64"/>
      <c r="K459" s="64"/>
      <c r="L459" s="64"/>
      <c r="M459" s="64"/>
      <c r="N459" s="64"/>
      <c r="O459" s="64"/>
      <c r="P459" s="64"/>
      <c r="Q459" s="64"/>
      <c r="R459" s="64"/>
      <c r="S459" s="65"/>
    </row>
    <row r="460" spans="1:19" s="66" customFormat="1" hidden="1" x14ac:dyDescent="0.25">
      <c r="A460" s="62"/>
      <c r="B460" s="64"/>
      <c r="C460" s="64"/>
      <c r="D460" s="64"/>
      <c r="E460" s="64"/>
      <c r="F460" s="64"/>
      <c r="G460" s="64"/>
      <c r="H460" s="64"/>
      <c r="I460" s="64"/>
      <c r="J460" s="64"/>
      <c r="K460" s="64"/>
      <c r="L460" s="64"/>
      <c r="M460" s="64"/>
      <c r="N460" s="64"/>
      <c r="O460" s="64"/>
      <c r="P460" s="64"/>
      <c r="Q460" s="64"/>
      <c r="R460" s="64"/>
      <c r="S460" s="65"/>
    </row>
    <row r="461" spans="1:19" s="66" customFormat="1" hidden="1" x14ac:dyDescent="0.25">
      <c r="A461" s="62"/>
      <c r="B461" s="64"/>
      <c r="C461" s="659"/>
      <c r="D461" s="64"/>
      <c r="E461" s="64"/>
      <c r="F461" s="64"/>
      <c r="G461" s="64"/>
      <c r="H461" s="64"/>
      <c r="I461" s="64"/>
      <c r="J461" s="64"/>
      <c r="K461" s="64"/>
      <c r="L461" s="64"/>
      <c r="M461" s="64"/>
      <c r="N461" s="64"/>
      <c r="O461" s="64"/>
      <c r="P461" s="64"/>
      <c r="Q461" s="64"/>
      <c r="R461" s="64"/>
      <c r="S461" s="65"/>
    </row>
    <row r="462" spans="1:19" s="66" customFormat="1" hidden="1" x14ac:dyDescent="0.25">
      <c r="A462" s="62"/>
      <c r="B462" s="64"/>
      <c r="C462" s="659"/>
      <c r="D462" s="64"/>
      <c r="E462" s="64"/>
      <c r="F462" s="64"/>
      <c r="G462" s="64"/>
      <c r="H462" s="64"/>
      <c r="I462" s="64"/>
      <c r="J462" s="64"/>
      <c r="K462" s="64"/>
      <c r="L462" s="64"/>
      <c r="M462" s="64"/>
      <c r="N462" s="64"/>
      <c r="O462" s="64"/>
      <c r="P462" s="64"/>
      <c r="Q462" s="64"/>
      <c r="R462" s="64"/>
      <c r="S462" s="65"/>
    </row>
    <row r="463" spans="1:19" s="66" customFormat="1" hidden="1" x14ac:dyDescent="0.25">
      <c r="A463" s="62"/>
      <c r="B463" s="64"/>
      <c r="C463" s="659"/>
      <c r="D463" s="64"/>
      <c r="E463" s="64"/>
      <c r="F463" s="64"/>
      <c r="G463" s="64"/>
      <c r="H463" s="64"/>
      <c r="I463" s="64"/>
      <c r="J463" s="64"/>
      <c r="K463" s="64"/>
      <c r="L463" s="64"/>
      <c r="M463" s="64"/>
      <c r="N463" s="64"/>
      <c r="O463" s="64"/>
      <c r="P463" s="64"/>
      <c r="Q463" s="64"/>
      <c r="R463" s="64"/>
      <c r="S463" s="65"/>
    </row>
    <row r="464" spans="1:19" s="66" customFormat="1" hidden="1" x14ac:dyDescent="0.25">
      <c r="A464" s="62"/>
      <c r="B464" s="64"/>
      <c r="C464" s="659"/>
      <c r="D464" s="64"/>
      <c r="E464" s="64"/>
      <c r="F464" s="64"/>
      <c r="G464" s="64"/>
      <c r="H464" s="64"/>
      <c r="I464" s="64"/>
      <c r="J464" s="64"/>
      <c r="K464" s="64"/>
      <c r="L464" s="64"/>
      <c r="M464" s="64"/>
      <c r="N464" s="64"/>
      <c r="O464" s="64"/>
      <c r="P464" s="64"/>
      <c r="Q464" s="64"/>
      <c r="R464" s="64"/>
      <c r="S464" s="65"/>
    </row>
    <row r="465" spans="1:19" s="66" customFormat="1" hidden="1" x14ac:dyDescent="0.25">
      <c r="A465" s="62"/>
      <c r="B465" s="64"/>
      <c r="C465" s="64"/>
      <c r="D465" s="64"/>
      <c r="E465" s="64"/>
      <c r="F465" s="64"/>
      <c r="G465" s="64"/>
      <c r="H465" s="64"/>
      <c r="I465" s="64"/>
      <c r="J465" s="64"/>
      <c r="K465" s="64"/>
      <c r="L465" s="64"/>
      <c r="M465" s="64"/>
      <c r="N465" s="64"/>
      <c r="O465" s="64"/>
      <c r="P465" s="64"/>
      <c r="Q465" s="64"/>
      <c r="R465" s="64"/>
      <c r="S465" s="65"/>
    </row>
    <row r="466" spans="1:19" s="66" customFormat="1" hidden="1" x14ac:dyDescent="0.25">
      <c r="A466" s="62"/>
      <c r="B466" s="77"/>
      <c r="C466" s="742"/>
      <c r="D466" s="742"/>
      <c r="E466" s="742"/>
      <c r="F466" s="742"/>
      <c r="G466" s="742"/>
      <c r="H466" s="742"/>
      <c r="I466" s="742"/>
      <c r="J466" s="742"/>
      <c r="K466" s="742"/>
      <c r="L466" s="742"/>
      <c r="M466" s="742"/>
      <c r="N466" s="742"/>
      <c r="O466" s="742"/>
      <c r="P466" s="742"/>
      <c r="Q466" s="742"/>
      <c r="R466" s="742"/>
      <c r="S466" s="65"/>
    </row>
    <row r="467" spans="1:19" s="66" customFormat="1" hidden="1" x14ac:dyDescent="0.25">
      <c r="A467" s="62"/>
      <c r="B467" s="64"/>
      <c r="C467" s="64"/>
      <c r="D467" s="64"/>
      <c r="E467" s="64"/>
      <c r="F467" s="64"/>
      <c r="G467" s="64"/>
      <c r="H467" s="64"/>
      <c r="I467" s="64"/>
      <c r="J467" s="64"/>
      <c r="K467" s="64"/>
      <c r="L467" s="64"/>
      <c r="M467" s="64"/>
      <c r="N467" s="64"/>
      <c r="O467" s="64"/>
      <c r="P467" s="64"/>
      <c r="Q467" s="64"/>
      <c r="R467" s="64"/>
      <c r="S467" s="65"/>
    </row>
    <row r="468" spans="1:19" s="66" customFormat="1" hidden="1" x14ac:dyDescent="0.25">
      <c r="A468" s="62"/>
      <c r="B468" s="64"/>
      <c r="C468" s="64"/>
      <c r="D468" s="64"/>
      <c r="E468" s="64"/>
      <c r="F468" s="64"/>
      <c r="G468" s="64"/>
      <c r="H468" s="64"/>
      <c r="I468" s="64"/>
      <c r="J468" s="64"/>
      <c r="K468" s="64"/>
      <c r="L468" s="64"/>
      <c r="M468" s="64"/>
      <c r="N468" s="64"/>
      <c r="O468" s="64"/>
      <c r="P468" s="64"/>
      <c r="Q468" s="64"/>
      <c r="R468" s="64"/>
      <c r="S468" s="65"/>
    </row>
    <row r="469" spans="1:19" ht="13" thickBot="1" x14ac:dyDescent="0.3">
      <c r="A469" s="59"/>
      <c r="B469" s="46"/>
      <c r="C469" s="46"/>
      <c r="S469" s="61"/>
    </row>
    <row r="470" spans="1:19" hidden="1" x14ac:dyDescent="0.25">
      <c r="A470" s="59"/>
      <c r="B470" s="46"/>
      <c r="C470" s="46"/>
      <c r="S470" s="61"/>
    </row>
    <row r="471" spans="1:19" hidden="1" x14ac:dyDescent="0.25">
      <c r="A471" s="59"/>
      <c r="B471" s="46"/>
      <c r="C471" s="46"/>
      <c r="S471" s="61"/>
    </row>
    <row r="472" spans="1:19" ht="13" hidden="1" thickBot="1" x14ac:dyDescent="0.3">
      <c r="A472" s="233"/>
      <c r="B472" s="234"/>
      <c r="C472" s="234"/>
      <c r="D472" s="234"/>
      <c r="E472" s="234"/>
      <c r="F472" s="234"/>
      <c r="G472" s="234"/>
      <c r="H472" s="234"/>
      <c r="I472" s="234"/>
      <c r="J472" s="234"/>
      <c r="K472" s="234"/>
      <c r="L472" s="234"/>
      <c r="M472" s="234"/>
      <c r="N472" s="234"/>
      <c r="O472" s="234"/>
      <c r="P472" s="234"/>
      <c r="Q472" s="234"/>
      <c r="R472" s="234"/>
      <c r="S472" s="185"/>
    </row>
    <row r="473" spans="1:19" ht="13" hidden="1" thickBot="1" x14ac:dyDescent="0.3"/>
    <row r="474" spans="1:19" ht="16" thickBot="1" x14ac:dyDescent="0.4">
      <c r="A474" s="743" t="s">
        <v>273</v>
      </c>
      <c r="B474" s="744"/>
      <c r="C474" s="744"/>
      <c r="D474" s="744"/>
      <c r="E474" s="744"/>
      <c r="F474" s="744"/>
      <c r="G474" s="744"/>
      <c r="H474" s="744"/>
      <c r="I474" s="744"/>
      <c r="J474" s="744"/>
      <c r="K474" s="744"/>
      <c r="L474" s="744"/>
      <c r="M474" s="744"/>
      <c r="N474" s="744"/>
      <c r="O474" s="744"/>
      <c r="P474" s="744"/>
      <c r="Q474" s="744"/>
      <c r="R474" s="744"/>
      <c r="S474" s="745"/>
    </row>
    <row r="475" spans="1:19" ht="13.5" customHeight="1" thickBot="1" x14ac:dyDescent="0.35">
      <c r="A475" s="59"/>
      <c r="B475" s="235"/>
      <c r="S475" s="61"/>
    </row>
    <row r="476" spans="1:19" s="71" customFormat="1" ht="16.5" customHeight="1" thickBot="1" x14ac:dyDescent="0.4">
      <c r="A476" s="236"/>
      <c r="B476" s="93" t="s">
        <v>634</v>
      </c>
      <c r="C476" s="739" t="str">
        <f>$C$80</f>
        <v>Line card (C-NET) FCL2001-A1</v>
      </c>
      <c r="D476" s="740"/>
      <c r="E476" s="740"/>
      <c r="F476" s="740"/>
      <c r="G476" s="740"/>
      <c r="H476" s="740"/>
      <c r="I476" s="740"/>
      <c r="J476" s="740"/>
      <c r="K476" s="740"/>
      <c r="L476" s="740"/>
      <c r="M476" s="740"/>
      <c r="N476" s="740"/>
      <c r="O476" s="740"/>
      <c r="P476" s="740"/>
      <c r="Q476" s="740"/>
      <c r="R476" s="741"/>
      <c r="S476" s="237"/>
    </row>
    <row r="477" spans="1:19" s="71" customFormat="1" ht="16.5" customHeight="1" thickBot="1" x14ac:dyDescent="0.35">
      <c r="A477" s="236"/>
      <c r="B477" s="96"/>
      <c r="C477" s="729" t="str">
        <f>C$82</f>
        <v>Stub1_1</v>
      </c>
      <c r="D477" s="730"/>
      <c r="E477" s="730" t="str">
        <f>E$82</f>
        <v>Stub1_2</v>
      </c>
      <c r="F477" s="731"/>
      <c r="G477" s="729" t="str">
        <f>G$82</f>
        <v>Stub2_1</v>
      </c>
      <c r="H477" s="730"/>
      <c r="I477" s="730" t="str">
        <f>I$82</f>
        <v>Stub2_2</v>
      </c>
      <c r="J477" s="731"/>
      <c r="K477" s="729" t="str">
        <f>K$82</f>
        <v>Stub3_1</v>
      </c>
      <c r="L477" s="730"/>
      <c r="M477" s="730" t="str">
        <f>M$82</f>
        <v>Stub3_2</v>
      </c>
      <c r="N477" s="731"/>
      <c r="O477" s="729" t="str">
        <f>O$82</f>
        <v>Stub4_1</v>
      </c>
      <c r="P477" s="730"/>
      <c r="Q477" s="730" t="str">
        <f>Q$82</f>
        <v>Stub4_2</v>
      </c>
      <c r="R477" s="731"/>
      <c r="S477" s="238"/>
    </row>
    <row r="478" spans="1:19" ht="13.5" hidden="1" customHeight="1" thickBot="1" x14ac:dyDescent="0.3">
      <c r="A478" s="215"/>
      <c r="B478" s="239"/>
      <c r="C478" s="240"/>
      <c r="D478" s="241"/>
      <c r="E478" s="241"/>
      <c r="F478" s="242"/>
      <c r="G478" s="240"/>
      <c r="H478" s="241"/>
      <c r="I478" s="241"/>
      <c r="J478" s="242"/>
      <c r="K478" s="240"/>
      <c r="L478" s="241"/>
      <c r="M478" s="241"/>
      <c r="N478" s="242"/>
      <c r="O478" s="240"/>
      <c r="P478" s="241"/>
      <c r="Q478" s="241"/>
      <c r="R478" s="242"/>
      <c r="S478" s="230"/>
    </row>
    <row r="479" spans="1:19" ht="13.5" customHeight="1" x14ac:dyDescent="0.25">
      <c r="A479" s="59"/>
      <c r="B479" s="243" t="s">
        <v>635</v>
      </c>
      <c r="C479" s="746">
        <v>0</v>
      </c>
      <c r="D479" s="747"/>
      <c r="E479" s="748">
        <v>0</v>
      </c>
      <c r="F479" s="749"/>
      <c r="G479" s="746">
        <v>0</v>
      </c>
      <c r="H479" s="747"/>
      <c r="I479" s="748">
        <v>0</v>
      </c>
      <c r="J479" s="749"/>
      <c r="K479" s="746">
        <v>0</v>
      </c>
      <c r="L479" s="747"/>
      <c r="M479" s="748">
        <v>0</v>
      </c>
      <c r="N479" s="749"/>
      <c r="O479" s="746">
        <v>0</v>
      </c>
      <c r="P479" s="747"/>
      <c r="Q479" s="748">
        <v>0</v>
      </c>
      <c r="R479" s="749"/>
      <c r="S479" s="61"/>
    </row>
    <row r="480" spans="1:19" ht="13.5" customHeight="1" thickBot="1" x14ac:dyDescent="0.3">
      <c r="A480" s="59"/>
      <c r="B480" s="244" t="s">
        <v>636</v>
      </c>
      <c r="C480" s="750">
        <v>0</v>
      </c>
      <c r="D480" s="751"/>
      <c r="E480" s="751"/>
      <c r="F480" s="751"/>
      <c r="G480" s="751"/>
      <c r="H480" s="751"/>
      <c r="I480" s="751"/>
      <c r="J480" s="751"/>
      <c r="K480" s="751"/>
      <c r="L480" s="751"/>
      <c r="M480" s="751"/>
      <c r="N480" s="751"/>
      <c r="O480" s="751"/>
      <c r="P480" s="751"/>
      <c r="Q480" s="751"/>
      <c r="R480" s="752"/>
      <c r="S480" s="94"/>
    </row>
    <row r="481" spans="1:19" ht="13.5" hidden="1" customHeight="1" x14ac:dyDescent="0.25">
      <c r="A481" s="215"/>
      <c r="B481" s="239"/>
      <c r="C481" s="657"/>
      <c r="D481" s="657"/>
      <c r="E481" s="657"/>
      <c r="F481" s="657"/>
      <c r="G481" s="657"/>
      <c r="H481" s="657"/>
      <c r="I481" s="657"/>
      <c r="J481" s="657"/>
      <c r="K481" s="657"/>
      <c r="L481" s="657"/>
      <c r="M481" s="657"/>
      <c r="N481" s="657"/>
      <c r="O481" s="657"/>
      <c r="P481" s="657"/>
      <c r="Q481" s="657"/>
      <c r="R481" s="657"/>
      <c r="S481" s="230"/>
    </row>
    <row r="482" spans="1:19" hidden="1" x14ac:dyDescent="0.25">
      <c r="A482" s="215"/>
      <c r="B482" s="239"/>
      <c r="C482" s="657"/>
      <c r="D482" s="657"/>
      <c r="E482" s="657"/>
      <c r="F482" s="657"/>
      <c r="G482" s="657"/>
      <c r="H482" s="657"/>
      <c r="I482" s="657"/>
      <c r="J482" s="657"/>
      <c r="K482" s="657"/>
      <c r="L482" s="657"/>
      <c r="M482" s="657"/>
      <c r="N482" s="657"/>
      <c r="O482" s="657"/>
      <c r="P482" s="657"/>
      <c r="Q482" s="657"/>
      <c r="R482" s="657"/>
      <c r="S482" s="230"/>
    </row>
    <row r="483" spans="1:19" ht="13.5" hidden="1" customHeight="1" x14ac:dyDescent="0.25">
      <c r="A483" s="215"/>
      <c r="B483" s="228" t="s">
        <v>637</v>
      </c>
      <c r="C483" s="245">
        <v>0</v>
      </c>
      <c r="D483" s="246"/>
      <c r="E483" s="245">
        <v>0</v>
      </c>
      <c r="F483" s="246"/>
      <c r="G483" s="245">
        <v>0</v>
      </c>
      <c r="H483" s="246"/>
      <c r="I483" s="245">
        <v>0</v>
      </c>
      <c r="J483" s="246"/>
      <c r="K483" s="245">
        <v>0</v>
      </c>
      <c r="L483" s="246"/>
      <c r="M483" s="245">
        <v>0</v>
      </c>
      <c r="N483" s="246"/>
      <c r="O483" s="245">
        <v>0</v>
      </c>
      <c r="P483" s="246"/>
      <c r="Q483" s="245">
        <v>0</v>
      </c>
      <c r="R483" s="246"/>
      <c r="S483" s="230"/>
    </row>
    <row r="484" spans="1:19" ht="13.5" hidden="1" customHeight="1" x14ac:dyDescent="0.25">
      <c r="A484" s="215"/>
      <c r="B484" s="228" t="s">
        <v>638</v>
      </c>
      <c r="C484" s="247">
        <v>15</v>
      </c>
      <c r="D484" s="248"/>
      <c r="E484" s="247">
        <v>15</v>
      </c>
      <c r="F484" s="248"/>
      <c r="G484" s="247">
        <v>15</v>
      </c>
      <c r="H484" s="248"/>
      <c r="I484" s="247">
        <v>15</v>
      </c>
      <c r="J484" s="248"/>
      <c r="K484" s="247">
        <v>15</v>
      </c>
      <c r="L484" s="248"/>
      <c r="M484" s="247">
        <v>15</v>
      </c>
      <c r="N484" s="248"/>
      <c r="O484" s="247">
        <v>15</v>
      </c>
      <c r="P484" s="248"/>
      <c r="Q484" s="247">
        <v>15</v>
      </c>
      <c r="R484" s="248"/>
      <c r="S484" s="230"/>
    </row>
    <row r="485" spans="1:19" ht="13.5" hidden="1" customHeight="1" x14ac:dyDescent="0.25">
      <c r="A485" s="215"/>
      <c r="B485" s="228" t="s">
        <v>639</v>
      </c>
      <c r="C485" s="247">
        <v>0</v>
      </c>
      <c r="D485" s="249" t="s">
        <v>73</v>
      </c>
      <c r="E485" s="247">
        <v>0</v>
      </c>
      <c r="F485" s="249" t="s">
        <v>73</v>
      </c>
      <c r="G485" s="247">
        <v>0</v>
      </c>
      <c r="H485" s="249" t="s">
        <v>73</v>
      </c>
      <c r="I485" s="247">
        <v>0</v>
      </c>
      <c r="J485" s="249" t="s">
        <v>73</v>
      </c>
      <c r="K485" s="247">
        <v>0</v>
      </c>
      <c r="L485" s="249" t="s">
        <v>73</v>
      </c>
      <c r="M485" s="247">
        <v>0</v>
      </c>
      <c r="N485" s="249" t="s">
        <v>73</v>
      </c>
      <c r="O485" s="247">
        <v>0</v>
      </c>
      <c r="P485" s="249" t="s">
        <v>73</v>
      </c>
      <c r="Q485" s="247">
        <v>0</v>
      </c>
      <c r="R485" s="249" t="s">
        <v>73</v>
      </c>
      <c r="S485" s="230"/>
    </row>
    <row r="486" spans="1:19" ht="13.5" hidden="1" customHeight="1" x14ac:dyDescent="0.25">
      <c r="A486" s="215"/>
      <c r="B486" s="228" t="s">
        <v>640</v>
      </c>
      <c r="C486" s="247">
        <v>0</v>
      </c>
      <c r="D486" s="249" t="s">
        <v>73</v>
      </c>
      <c r="E486" s="247">
        <v>0</v>
      </c>
      <c r="F486" s="249" t="s">
        <v>73</v>
      </c>
      <c r="G486" s="247">
        <v>0</v>
      </c>
      <c r="H486" s="249" t="s">
        <v>73</v>
      </c>
      <c r="I486" s="247">
        <v>0</v>
      </c>
      <c r="J486" s="249" t="s">
        <v>73</v>
      </c>
      <c r="K486" s="247">
        <v>0</v>
      </c>
      <c r="L486" s="249" t="s">
        <v>73</v>
      </c>
      <c r="M486" s="247">
        <v>0</v>
      </c>
      <c r="N486" s="249" t="s">
        <v>73</v>
      </c>
      <c r="O486" s="247">
        <v>0</v>
      </c>
      <c r="P486" s="249" t="s">
        <v>73</v>
      </c>
      <c r="Q486" s="247">
        <v>0</v>
      </c>
      <c r="R486" s="249" t="s">
        <v>73</v>
      </c>
      <c r="S486" s="230"/>
    </row>
    <row r="487" spans="1:19" ht="13.5" hidden="1" customHeight="1" x14ac:dyDescent="0.25">
      <c r="A487" s="215"/>
      <c r="B487" s="228" t="s">
        <v>641</v>
      </c>
      <c r="C487" s="247">
        <v>0</v>
      </c>
      <c r="D487" s="249" t="s">
        <v>73</v>
      </c>
      <c r="E487" s="247">
        <v>0</v>
      </c>
      <c r="F487" s="249" t="s">
        <v>73</v>
      </c>
      <c r="G487" s="247">
        <v>0</v>
      </c>
      <c r="H487" s="249" t="s">
        <v>73</v>
      </c>
      <c r="I487" s="247">
        <v>0</v>
      </c>
      <c r="J487" s="249" t="s">
        <v>73</v>
      </c>
      <c r="K487" s="247">
        <v>0</v>
      </c>
      <c r="L487" s="249" t="s">
        <v>73</v>
      </c>
      <c r="M487" s="247">
        <v>0</v>
      </c>
      <c r="N487" s="249" t="s">
        <v>73</v>
      </c>
      <c r="O487" s="247">
        <v>0</v>
      </c>
      <c r="P487" s="249" t="s">
        <v>73</v>
      </c>
      <c r="Q487" s="247">
        <v>0</v>
      </c>
      <c r="R487" s="249" t="s">
        <v>73</v>
      </c>
      <c r="S487" s="230"/>
    </row>
    <row r="488" spans="1:19" ht="13.5" hidden="1" customHeight="1" x14ac:dyDescent="0.25">
      <c r="A488" s="215"/>
      <c r="B488" s="228"/>
      <c r="C488" s="247"/>
      <c r="D488" s="249"/>
      <c r="E488" s="247"/>
      <c r="F488" s="249"/>
      <c r="G488" s="247"/>
      <c r="H488" s="249"/>
      <c r="I488" s="247"/>
      <c r="J488" s="249"/>
      <c r="K488" s="247"/>
      <c r="L488" s="249"/>
      <c r="M488" s="247"/>
      <c r="N488" s="249"/>
      <c r="O488" s="247"/>
      <c r="P488" s="249"/>
      <c r="Q488" s="247"/>
      <c r="R488" s="249"/>
      <c r="S488" s="230"/>
    </row>
    <row r="489" spans="1:19" s="66" customFormat="1" ht="13.5" hidden="1" customHeight="1" x14ac:dyDescent="0.25">
      <c r="A489" s="231"/>
      <c r="B489" s="228"/>
      <c r="C489" s="247"/>
      <c r="D489" s="249"/>
      <c r="E489" s="247"/>
      <c r="F489" s="249"/>
      <c r="G489" s="247"/>
      <c r="H489" s="249"/>
      <c r="I489" s="247"/>
      <c r="J489" s="249"/>
      <c r="K489" s="247"/>
      <c r="L489" s="249"/>
      <c r="M489" s="247"/>
      <c r="N489" s="249"/>
      <c r="O489" s="247"/>
      <c r="P489" s="249"/>
      <c r="Q489" s="247"/>
      <c r="R489" s="249"/>
      <c r="S489" s="232"/>
    </row>
    <row r="490" spans="1:19" s="66" customFormat="1" ht="13.5" hidden="1" customHeight="1" x14ac:dyDescent="0.25">
      <c r="A490" s="231"/>
      <c r="B490" s="239" t="s">
        <v>642</v>
      </c>
      <c r="C490" s="753">
        <v>0</v>
      </c>
      <c r="D490" s="753"/>
      <c r="E490" s="753">
        <v>0</v>
      </c>
      <c r="F490" s="753"/>
      <c r="G490" s="753">
        <v>0</v>
      </c>
      <c r="H490" s="753"/>
      <c r="I490" s="753">
        <v>0</v>
      </c>
      <c r="J490" s="753"/>
      <c r="K490" s="753">
        <v>0</v>
      </c>
      <c r="L490" s="753"/>
      <c r="M490" s="753">
        <v>0</v>
      </c>
      <c r="N490" s="753"/>
      <c r="O490" s="753">
        <v>0</v>
      </c>
      <c r="P490" s="753"/>
      <c r="Q490" s="753">
        <v>0</v>
      </c>
      <c r="R490" s="753"/>
      <c r="S490" s="232"/>
    </row>
    <row r="491" spans="1:19" s="66" customFormat="1" ht="13.5" hidden="1" customHeight="1" x14ac:dyDescent="0.25">
      <c r="A491" s="231"/>
      <c r="B491" s="239" t="s">
        <v>643</v>
      </c>
      <c r="C491" s="753">
        <v>0</v>
      </c>
      <c r="D491" s="753"/>
      <c r="E491" s="753">
        <v>0</v>
      </c>
      <c r="F491" s="753"/>
      <c r="G491" s="753">
        <v>0</v>
      </c>
      <c r="H491" s="753"/>
      <c r="I491" s="753">
        <v>0</v>
      </c>
      <c r="J491" s="753"/>
      <c r="K491" s="753">
        <v>0</v>
      </c>
      <c r="L491" s="753"/>
      <c r="M491" s="753">
        <v>0</v>
      </c>
      <c r="N491" s="753"/>
      <c r="O491" s="753">
        <v>0</v>
      </c>
      <c r="P491" s="753"/>
      <c r="Q491" s="753">
        <v>0</v>
      </c>
      <c r="R491" s="753"/>
      <c r="S491" s="232"/>
    </row>
    <row r="492" spans="1:19" s="66" customFormat="1" ht="13.5" hidden="1" customHeight="1" x14ac:dyDescent="0.25">
      <c r="A492" s="231"/>
      <c r="B492" s="239" t="s">
        <v>644</v>
      </c>
      <c r="C492" s="753">
        <v>0</v>
      </c>
      <c r="D492" s="753"/>
      <c r="E492" s="753"/>
      <c r="F492" s="753"/>
      <c r="G492" s="753"/>
      <c r="H492" s="753"/>
      <c r="I492" s="753"/>
      <c r="J492" s="753"/>
      <c r="K492" s="753"/>
      <c r="L492" s="753"/>
      <c r="M492" s="753"/>
      <c r="N492" s="753"/>
      <c r="O492" s="753"/>
      <c r="P492" s="753"/>
      <c r="Q492" s="753"/>
      <c r="R492" s="753"/>
      <c r="S492" s="232"/>
    </row>
    <row r="493" spans="1:19" s="66" customFormat="1" ht="13.5" hidden="1" customHeight="1" x14ac:dyDescent="0.25">
      <c r="A493" s="231"/>
      <c r="B493" s="228"/>
      <c r="C493" s="228"/>
      <c r="D493" s="228"/>
      <c r="E493" s="228"/>
      <c r="F493" s="228"/>
      <c r="G493" s="228"/>
      <c r="H493" s="228"/>
      <c r="I493" s="228"/>
      <c r="J493" s="228"/>
      <c r="K493" s="228"/>
      <c r="L493" s="228"/>
      <c r="M493" s="228"/>
      <c r="N493" s="228"/>
      <c r="O493" s="228"/>
      <c r="P493" s="228"/>
      <c r="Q493" s="228"/>
      <c r="R493" s="228"/>
      <c r="S493" s="232"/>
    </row>
    <row r="494" spans="1:19" s="66" customFormat="1" ht="13.5" hidden="1" customHeight="1" x14ac:dyDescent="0.25">
      <c r="A494" s="231"/>
      <c r="B494" s="228"/>
      <c r="C494" s="228"/>
      <c r="D494" s="228"/>
      <c r="E494" s="228"/>
      <c r="F494" s="228"/>
      <c r="G494" s="228"/>
      <c r="H494" s="228"/>
      <c r="I494" s="228"/>
      <c r="J494" s="228"/>
      <c r="K494" s="228"/>
      <c r="L494" s="228"/>
      <c r="M494" s="228"/>
      <c r="N494" s="228"/>
      <c r="O494" s="228"/>
      <c r="P494" s="228"/>
      <c r="Q494" s="228"/>
      <c r="R494" s="228"/>
      <c r="S494" s="232"/>
    </row>
    <row r="495" spans="1:19" s="66" customFormat="1" ht="13.5" hidden="1" customHeight="1" x14ac:dyDescent="0.25">
      <c r="A495" s="231"/>
      <c r="B495" s="228"/>
      <c r="C495" s="228"/>
      <c r="D495" s="228"/>
      <c r="E495" s="228"/>
      <c r="F495" s="228"/>
      <c r="G495" s="228"/>
      <c r="H495" s="228"/>
      <c r="I495" s="228"/>
      <c r="J495" s="228"/>
      <c r="K495" s="228"/>
      <c r="L495" s="228"/>
      <c r="M495" s="228"/>
      <c r="N495" s="228"/>
      <c r="O495" s="228"/>
      <c r="P495" s="228"/>
      <c r="Q495" s="228"/>
      <c r="R495" s="228"/>
      <c r="S495" s="232"/>
    </row>
    <row r="496" spans="1:19" s="66" customFormat="1" ht="13.5" hidden="1" customHeight="1" x14ac:dyDescent="0.3">
      <c r="A496" s="231"/>
      <c r="B496" s="250" t="s">
        <v>645</v>
      </c>
      <c r="C496" s="228"/>
      <c r="D496" s="228"/>
      <c r="E496" s="228"/>
      <c r="F496" s="228"/>
      <c r="G496" s="228"/>
      <c r="H496" s="228"/>
      <c r="I496" s="228"/>
      <c r="J496" s="228"/>
      <c r="K496" s="228"/>
      <c r="L496" s="228"/>
      <c r="M496" s="228"/>
      <c r="N496" s="228"/>
      <c r="O496" s="228"/>
      <c r="P496" s="228"/>
      <c r="Q496" s="228"/>
      <c r="R496" s="228"/>
      <c r="S496" s="232"/>
    </row>
    <row r="497" spans="1:19" s="66" customFormat="1" ht="13.5" hidden="1" customHeight="1" x14ac:dyDescent="0.25">
      <c r="A497" s="231"/>
      <c r="B497" s="228" t="s">
        <v>646</v>
      </c>
      <c r="C497" s="247">
        <v>0</v>
      </c>
      <c r="D497" s="249" t="s">
        <v>275</v>
      </c>
      <c r="E497" s="247">
        <v>0</v>
      </c>
      <c r="F497" s="249" t="s">
        <v>275</v>
      </c>
      <c r="G497" s="247">
        <v>0</v>
      </c>
      <c r="H497" s="249" t="s">
        <v>275</v>
      </c>
      <c r="I497" s="247">
        <v>0</v>
      </c>
      <c r="J497" s="249" t="s">
        <v>275</v>
      </c>
      <c r="K497" s="247">
        <v>0</v>
      </c>
      <c r="L497" s="249" t="s">
        <v>275</v>
      </c>
      <c r="M497" s="247">
        <v>0</v>
      </c>
      <c r="N497" s="249" t="s">
        <v>275</v>
      </c>
      <c r="O497" s="247">
        <v>0</v>
      </c>
      <c r="P497" s="249" t="s">
        <v>275</v>
      </c>
      <c r="Q497" s="247">
        <v>0</v>
      </c>
      <c r="R497" s="249" t="s">
        <v>275</v>
      </c>
      <c r="S497" s="232"/>
    </row>
    <row r="498" spans="1:19" s="66" customFormat="1" ht="13.5" hidden="1" customHeight="1" x14ac:dyDescent="0.25">
      <c r="A498" s="231"/>
      <c r="B498" s="228" t="s">
        <v>647</v>
      </c>
      <c r="C498" s="251">
        <v>0</v>
      </c>
      <c r="D498" s="252" t="s">
        <v>301</v>
      </c>
      <c r="E498" s="251">
        <v>0</v>
      </c>
      <c r="F498" s="252" t="s">
        <v>301</v>
      </c>
      <c r="G498" s="251">
        <v>0</v>
      </c>
      <c r="H498" s="252" t="s">
        <v>301</v>
      </c>
      <c r="I498" s="251">
        <v>0</v>
      </c>
      <c r="J498" s="252" t="s">
        <v>301</v>
      </c>
      <c r="K498" s="251">
        <v>0</v>
      </c>
      <c r="L498" s="252" t="s">
        <v>301</v>
      </c>
      <c r="M498" s="251">
        <v>0</v>
      </c>
      <c r="N498" s="252" t="s">
        <v>301</v>
      </c>
      <c r="O498" s="251">
        <v>0</v>
      </c>
      <c r="P498" s="252" t="s">
        <v>301</v>
      </c>
      <c r="Q498" s="251">
        <v>0</v>
      </c>
      <c r="R498" s="252" t="s">
        <v>301</v>
      </c>
      <c r="S498" s="232"/>
    </row>
    <row r="499" spans="1:19" s="66" customFormat="1" ht="13.5" hidden="1" customHeight="1" x14ac:dyDescent="0.25">
      <c r="A499" s="231"/>
      <c r="B499" s="228" t="s">
        <v>648</v>
      </c>
      <c r="C499" s="245">
        <v>0</v>
      </c>
      <c r="D499" s="253" t="s">
        <v>275</v>
      </c>
      <c r="E499" s="245">
        <v>0</v>
      </c>
      <c r="F499" s="253" t="s">
        <v>275</v>
      </c>
      <c r="G499" s="245">
        <v>0</v>
      </c>
      <c r="H499" s="253" t="s">
        <v>275</v>
      </c>
      <c r="I499" s="245">
        <v>0</v>
      </c>
      <c r="J499" s="253" t="s">
        <v>275</v>
      </c>
      <c r="K499" s="245">
        <v>0</v>
      </c>
      <c r="L499" s="253" t="s">
        <v>275</v>
      </c>
      <c r="M499" s="245">
        <v>0</v>
      </c>
      <c r="N499" s="253" t="s">
        <v>275</v>
      </c>
      <c r="O499" s="245">
        <v>0</v>
      </c>
      <c r="P499" s="253" t="s">
        <v>275</v>
      </c>
      <c r="Q499" s="245">
        <v>0</v>
      </c>
      <c r="R499" s="253" t="s">
        <v>275</v>
      </c>
      <c r="S499" s="232"/>
    </row>
    <row r="500" spans="1:19" s="66" customFormat="1" ht="13.5" hidden="1" customHeight="1" x14ac:dyDescent="0.25">
      <c r="A500" s="231"/>
      <c r="B500" s="228" t="s">
        <v>649</v>
      </c>
      <c r="C500" s="254">
        <v>0</v>
      </c>
      <c r="D500" s="253" t="s">
        <v>301</v>
      </c>
      <c r="E500" s="254">
        <v>0</v>
      </c>
      <c r="F500" s="253" t="s">
        <v>301</v>
      </c>
      <c r="G500" s="254">
        <v>0</v>
      </c>
      <c r="H500" s="253" t="s">
        <v>301</v>
      </c>
      <c r="I500" s="254">
        <v>0</v>
      </c>
      <c r="J500" s="253" t="s">
        <v>301</v>
      </c>
      <c r="K500" s="254">
        <v>0</v>
      </c>
      <c r="L500" s="253" t="s">
        <v>301</v>
      </c>
      <c r="M500" s="254">
        <v>0</v>
      </c>
      <c r="N500" s="253" t="s">
        <v>301</v>
      </c>
      <c r="O500" s="254">
        <v>0</v>
      </c>
      <c r="P500" s="253" t="s">
        <v>301</v>
      </c>
      <c r="Q500" s="254">
        <v>0</v>
      </c>
      <c r="R500" s="253" t="s">
        <v>301</v>
      </c>
      <c r="S500" s="232"/>
    </row>
    <row r="501" spans="1:19" s="66" customFormat="1" ht="13.5" hidden="1" customHeight="1" x14ac:dyDescent="0.25">
      <c r="A501" s="231"/>
      <c r="B501" s="228" t="s">
        <v>650</v>
      </c>
      <c r="C501" s="245">
        <v>0</v>
      </c>
      <c r="D501" s="253" t="s">
        <v>57</v>
      </c>
      <c r="E501" s="245">
        <v>0</v>
      </c>
      <c r="F501" s="253" t="s">
        <v>57</v>
      </c>
      <c r="G501" s="245">
        <v>0</v>
      </c>
      <c r="H501" s="253" t="s">
        <v>57</v>
      </c>
      <c r="I501" s="245">
        <v>0</v>
      </c>
      <c r="J501" s="253" t="s">
        <v>57</v>
      </c>
      <c r="K501" s="245">
        <v>0</v>
      </c>
      <c r="L501" s="253" t="s">
        <v>57</v>
      </c>
      <c r="M501" s="245">
        <v>0</v>
      </c>
      <c r="N501" s="253" t="s">
        <v>57</v>
      </c>
      <c r="O501" s="245">
        <v>0</v>
      </c>
      <c r="P501" s="253" t="s">
        <v>57</v>
      </c>
      <c r="Q501" s="245">
        <v>0</v>
      </c>
      <c r="R501" s="253" t="s">
        <v>57</v>
      </c>
      <c r="S501" s="232"/>
    </row>
    <row r="502" spans="1:19" s="66" customFormat="1" ht="13.5" hidden="1" customHeight="1" x14ac:dyDescent="0.25">
      <c r="A502" s="231"/>
      <c r="B502" s="228"/>
      <c r="C502" s="228"/>
      <c r="D502" s="228"/>
      <c r="E502" s="228"/>
      <c r="F502" s="228"/>
      <c r="G502" s="228"/>
      <c r="H502" s="228"/>
      <c r="I502" s="228"/>
      <c r="J502" s="228"/>
      <c r="K502" s="228"/>
      <c r="L502" s="228"/>
      <c r="M502" s="228"/>
      <c r="N502" s="228"/>
      <c r="O502" s="228"/>
      <c r="P502" s="228"/>
      <c r="Q502" s="228"/>
      <c r="R502" s="228"/>
      <c r="S502" s="232"/>
    </row>
    <row r="503" spans="1:19" s="66" customFormat="1" ht="13.5" hidden="1" customHeight="1" x14ac:dyDescent="0.25">
      <c r="A503" s="231"/>
      <c r="B503" s="228"/>
      <c r="C503" s="228"/>
      <c r="D503" s="228"/>
      <c r="E503" s="228"/>
      <c r="F503" s="228"/>
      <c r="G503" s="228"/>
      <c r="H503" s="228"/>
      <c r="I503" s="228"/>
      <c r="J503" s="228"/>
      <c r="K503" s="228"/>
      <c r="L503" s="228"/>
      <c r="M503" s="228"/>
      <c r="N503" s="228"/>
      <c r="O503" s="228"/>
      <c r="P503" s="228"/>
      <c r="Q503" s="228"/>
      <c r="R503" s="228"/>
      <c r="S503" s="232"/>
    </row>
    <row r="504" spans="1:19" s="66" customFormat="1" ht="13.5" hidden="1" customHeight="1" x14ac:dyDescent="0.25">
      <c r="A504" s="231"/>
      <c r="B504" s="228"/>
      <c r="C504" s="228"/>
      <c r="D504" s="228"/>
      <c r="E504" s="228"/>
      <c r="F504" s="228"/>
      <c r="G504" s="228"/>
      <c r="H504" s="228"/>
      <c r="I504" s="228"/>
      <c r="J504" s="228"/>
      <c r="K504" s="228"/>
      <c r="L504" s="228"/>
      <c r="M504" s="228"/>
      <c r="N504" s="228"/>
      <c r="O504" s="228"/>
      <c r="P504" s="228"/>
      <c r="Q504" s="228"/>
      <c r="R504" s="228"/>
      <c r="S504" s="232"/>
    </row>
    <row r="505" spans="1:19" s="66" customFormat="1" ht="13.5" hidden="1" customHeight="1" x14ac:dyDescent="0.3">
      <c r="A505" s="231"/>
      <c r="B505" s="250" t="s">
        <v>651</v>
      </c>
      <c r="C505" s="228"/>
      <c r="D505" s="228"/>
      <c r="E505" s="228"/>
      <c r="F505" s="228"/>
      <c r="G505" s="228"/>
      <c r="H505" s="228"/>
      <c r="I505" s="228"/>
      <c r="J505" s="228"/>
      <c r="K505" s="228"/>
      <c r="L505" s="228"/>
      <c r="M505" s="228"/>
      <c r="N505" s="228"/>
      <c r="O505" s="228"/>
      <c r="P505" s="228"/>
      <c r="Q505" s="228"/>
      <c r="R505" s="228"/>
      <c r="S505" s="232"/>
    </row>
    <row r="506" spans="1:19" s="66" customFormat="1" ht="13.5" hidden="1" customHeight="1" x14ac:dyDescent="0.3">
      <c r="A506" s="231"/>
      <c r="B506" s="228" t="s">
        <v>652</v>
      </c>
      <c r="C506" s="228" t="b">
        <v>0</v>
      </c>
      <c r="D506" s="255"/>
      <c r="E506" s="228" t="b">
        <v>0</v>
      </c>
      <c r="F506" s="255"/>
      <c r="G506" s="228" t="b">
        <v>0</v>
      </c>
      <c r="H506" s="255"/>
      <c r="I506" s="228" t="b">
        <v>0</v>
      </c>
      <c r="J506" s="255"/>
      <c r="K506" s="228" t="b">
        <v>0</v>
      </c>
      <c r="L506" s="255"/>
      <c r="M506" s="228" t="b">
        <v>0</v>
      </c>
      <c r="N506" s="255"/>
      <c r="O506" s="228" t="b">
        <v>0</v>
      </c>
      <c r="P506" s="255"/>
      <c r="Q506" s="228" t="b">
        <v>0</v>
      </c>
      <c r="R506" s="255"/>
      <c r="S506" s="232"/>
    </row>
    <row r="507" spans="1:19" s="66" customFormat="1" ht="13.5" hidden="1" customHeight="1" x14ac:dyDescent="0.25">
      <c r="A507" s="231"/>
      <c r="B507" s="239" t="s">
        <v>653</v>
      </c>
      <c r="C507" s="251">
        <v>12</v>
      </c>
      <c r="D507" s="252" t="s">
        <v>301</v>
      </c>
      <c r="E507" s="251">
        <v>12</v>
      </c>
      <c r="F507" s="252" t="s">
        <v>301</v>
      </c>
      <c r="G507" s="251">
        <v>12</v>
      </c>
      <c r="H507" s="252" t="s">
        <v>301</v>
      </c>
      <c r="I507" s="251">
        <v>12</v>
      </c>
      <c r="J507" s="252" t="s">
        <v>301</v>
      </c>
      <c r="K507" s="251">
        <v>12</v>
      </c>
      <c r="L507" s="252" t="s">
        <v>301</v>
      </c>
      <c r="M507" s="251">
        <v>12</v>
      </c>
      <c r="N507" s="252" t="s">
        <v>301</v>
      </c>
      <c r="O507" s="251">
        <v>12</v>
      </c>
      <c r="P507" s="252" t="s">
        <v>301</v>
      </c>
      <c r="Q507" s="251">
        <v>12</v>
      </c>
      <c r="R507" s="252" t="s">
        <v>301</v>
      </c>
      <c r="S507" s="232"/>
    </row>
    <row r="508" spans="1:19" s="66" customFormat="1" ht="13.5" hidden="1" customHeight="1" x14ac:dyDescent="0.25">
      <c r="A508" s="231"/>
      <c r="B508" s="228"/>
      <c r="C508" s="228"/>
      <c r="D508" s="228"/>
      <c r="E508" s="228"/>
      <c r="F508" s="228"/>
      <c r="G508" s="228"/>
      <c r="H508" s="228"/>
      <c r="I508" s="228"/>
      <c r="J508" s="228"/>
      <c r="K508" s="228"/>
      <c r="L508" s="228"/>
      <c r="M508" s="228"/>
      <c r="N508" s="228"/>
      <c r="O508" s="228"/>
      <c r="P508" s="228"/>
      <c r="Q508" s="228"/>
      <c r="R508" s="228"/>
      <c r="S508" s="232"/>
    </row>
    <row r="509" spans="1:19" s="66" customFormat="1" ht="13.5" hidden="1" customHeight="1" x14ac:dyDescent="0.25">
      <c r="A509" s="231"/>
      <c r="B509" s="228"/>
      <c r="C509" s="228"/>
      <c r="D509" s="228"/>
      <c r="E509" s="228"/>
      <c r="F509" s="228"/>
      <c r="G509" s="228"/>
      <c r="H509" s="228"/>
      <c r="I509" s="228"/>
      <c r="J509" s="228"/>
      <c r="K509" s="228"/>
      <c r="L509" s="228"/>
      <c r="M509" s="228"/>
      <c r="N509" s="228"/>
      <c r="O509" s="228"/>
      <c r="P509" s="228"/>
      <c r="Q509" s="228"/>
      <c r="R509" s="228"/>
      <c r="S509" s="232"/>
    </row>
    <row r="510" spans="1:19" s="66" customFormat="1" ht="13.5" hidden="1" customHeight="1" x14ac:dyDescent="0.25">
      <c r="A510" s="231"/>
      <c r="B510" s="228"/>
      <c r="C510" s="228"/>
      <c r="D510" s="228"/>
      <c r="E510" s="228"/>
      <c r="F510" s="228"/>
      <c r="G510" s="228"/>
      <c r="H510" s="228"/>
      <c r="I510" s="228"/>
      <c r="J510" s="228"/>
      <c r="K510" s="228"/>
      <c r="L510" s="228"/>
      <c r="M510" s="228"/>
      <c r="N510" s="228"/>
      <c r="O510" s="228"/>
      <c r="P510" s="228"/>
      <c r="Q510" s="228"/>
      <c r="R510" s="228"/>
      <c r="S510" s="232"/>
    </row>
    <row r="511" spans="1:19" s="66" customFormat="1" ht="13.5" hidden="1" customHeight="1" x14ac:dyDescent="0.3">
      <c r="A511" s="231"/>
      <c r="B511" s="250" t="s">
        <v>654</v>
      </c>
      <c r="C511" s="228"/>
      <c r="D511" s="228"/>
      <c r="E511" s="228"/>
      <c r="F511" s="228"/>
      <c r="G511" s="228"/>
      <c r="H511" s="228"/>
      <c r="I511" s="228"/>
      <c r="J511" s="228"/>
      <c r="K511" s="228"/>
      <c r="L511" s="228"/>
      <c r="M511" s="228"/>
      <c r="N511" s="228"/>
      <c r="O511" s="228"/>
      <c r="P511" s="228"/>
      <c r="Q511" s="228"/>
      <c r="R511" s="228"/>
      <c r="S511" s="232"/>
    </row>
    <row r="512" spans="1:19" s="66" customFormat="1" ht="13.5" hidden="1" customHeight="1" x14ac:dyDescent="0.25">
      <c r="A512" s="231"/>
      <c r="B512" s="77" t="s">
        <v>655</v>
      </c>
      <c r="C512" s="256">
        <v>1.6E-2</v>
      </c>
      <c r="D512" s="257" t="s">
        <v>57</v>
      </c>
      <c r="E512" s="256">
        <v>1.2E-2</v>
      </c>
      <c r="F512" s="257" t="s">
        <v>57</v>
      </c>
      <c r="G512" s="256">
        <v>1.6E-2</v>
      </c>
      <c r="H512" s="257" t="s">
        <v>57</v>
      </c>
      <c r="I512" s="256">
        <v>1.2E-2</v>
      </c>
      <c r="J512" s="257" t="s">
        <v>57</v>
      </c>
      <c r="K512" s="256">
        <v>1.6E-2</v>
      </c>
      <c r="L512" s="257" t="s">
        <v>57</v>
      </c>
      <c r="M512" s="256">
        <v>1.2E-2</v>
      </c>
      <c r="N512" s="257" t="s">
        <v>57</v>
      </c>
      <c r="O512" s="256">
        <v>1.6E-2</v>
      </c>
      <c r="P512" s="257" t="s">
        <v>57</v>
      </c>
      <c r="Q512" s="256">
        <v>1.2E-2</v>
      </c>
      <c r="R512" s="257" t="s">
        <v>57</v>
      </c>
      <c r="S512" s="232"/>
    </row>
    <row r="513" spans="1:21" s="66" customFormat="1" ht="13.5" hidden="1" customHeight="1" x14ac:dyDescent="0.25">
      <c r="A513" s="231"/>
      <c r="B513" s="258" t="s">
        <v>656</v>
      </c>
      <c r="C513" s="259">
        <v>5.3333333333333332E-3</v>
      </c>
      <c r="D513" s="257" t="s">
        <v>57</v>
      </c>
      <c r="E513" s="259">
        <v>5.3333333333333332E-3</v>
      </c>
      <c r="F513" s="257" t="s">
        <v>57</v>
      </c>
      <c r="G513" s="259">
        <v>5.3333333333333332E-3</v>
      </c>
      <c r="H513" s="257" t="s">
        <v>57</v>
      </c>
      <c r="I513" s="259">
        <v>5.3333333333333332E-3</v>
      </c>
      <c r="J513" s="257" t="s">
        <v>57</v>
      </c>
      <c r="K513" s="259">
        <v>5.3333333333333332E-3</v>
      </c>
      <c r="L513" s="257" t="s">
        <v>57</v>
      </c>
      <c r="M513" s="259">
        <v>5.3333333333333332E-3</v>
      </c>
      <c r="N513" s="257" t="s">
        <v>57</v>
      </c>
      <c r="O513" s="259">
        <v>5.3333333333333332E-3</v>
      </c>
      <c r="P513" s="257" t="s">
        <v>57</v>
      </c>
      <c r="Q513" s="259">
        <v>5.3333333333333332E-3</v>
      </c>
      <c r="R513" s="257" t="s">
        <v>57</v>
      </c>
      <c r="S513" s="232"/>
    </row>
    <row r="514" spans="1:21" s="66" customFormat="1" ht="13.5" hidden="1" customHeight="1" x14ac:dyDescent="0.25">
      <c r="A514" s="231"/>
      <c r="B514" s="228" t="s">
        <v>657</v>
      </c>
      <c r="C514" s="260">
        <v>900</v>
      </c>
      <c r="D514" s="261" t="s">
        <v>268</v>
      </c>
      <c r="E514" s="260">
        <v>1</v>
      </c>
      <c r="F514" s="261" t="s">
        <v>268</v>
      </c>
      <c r="G514" s="260">
        <v>900</v>
      </c>
      <c r="H514" s="261" t="s">
        <v>268</v>
      </c>
      <c r="I514" s="260">
        <v>1</v>
      </c>
      <c r="J514" s="261" t="s">
        <v>268</v>
      </c>
      <c r="K514" s="260">
        <v>899</v>
      </c>
      <c r="L514" s="261" t="s">
        <v>268</v>
      </c>
      <c r="M514" s="260">
        <v>1</v>
      </c>
      <c r="N514" s="261" t="s">
        <v>268</v>
      </c>
      <c r="O514" s="260">
        <v>899</v>
      </c>
      <c r="P514" s="261" t="s">
        <v>268</v>
      </c>
      <c r="Q514" s="260">
        <v>1</v>
      </c>
      <c r="R514" s="261" t="s">
        <v>268</v>
      </c>
      <c r="S514" s="232"/>
    </row>
    <row r="515" spans="1:21" s="66" customFormat="1" ht="13.5" hidden="1" customHeight="1" x14ac:dyDescent="0.25">
      <c r="A515" s="231"/>
      <c r="B515" s="228" t="s">
        <v>658</v>
      </c>
      <c r="C515" s="260">
        <v>900</v>
      </c>
      <c r="D515" s="261" t="s">
        <v>268</v>
      </c>
      <c r="E515" s="260">
        <v>1</v>
      </c>
      <c r="F515" s="261" t="s">
        <v>268</v>
      </c>
      <c r="G515" s="260">
        <v>900</v>
      </c>
      <c r="H515" s="261" t="s">
        <v>268</v>
      </c>
      <c r="I515" s="260">
        <v>1</v>
      </c>
      <c r="J515" s="261" t="s">
        <v>268</v>
      </c>
      <c r="K515" s="260">
        <v>899</v>
      </c>
      <c r="L515" s="261" t="s">
        <v>268</v>
      </c>
      <c r="M515" s="260">
        <v>1</v>
      </c>
      <c r="N515" s="261" t="s">
        <v>268</v>
      </c>
      <c r="O515" s="260">
        <v>899</v>
      </c>
      <c r="P515" s="261" t="s">
        <v>268</v>
      </c>
      <c r="Q515" s="260">
        <v>1</v>
      </c>
      <c r="R515" s="261" t="s">
        <v>268</v>
      </c>
      <c r="S515" s="232"/>
    </row>
    <row r="516" spans="1:21" s="66" customFormat="1" ht="13.5" hidden="1" customHeight="1" x14ac:dyDescent="0.25">
      <c r="A516" s="231"/>
      <c r="B516" s="228" t="s">
        <v>659</v>
      </c>
      <c r="C516" s="262">
        <v>0</v>
      </c>
      <c r="D516" s="263" t="s">
        <v>274</v>
      </c>
      <c r="E516" s="262">
        <v>0</v>
      </c>
      <c r="F516" s="263" t="s">
        <v>274</v>
      </c>
      <c r="G516" s="262">
        <v>0</v>
      </c>
      <c r="H516" s="263" t="s">
        <v>274</v>
      </c>
      <c r="I516" s="262">
        <v>0</v>
      </c>
      <c r="J516" s="263" t="s">
        <v>274</v>
      </c>
      <c r="K516" s="262">
        <v>0</v>
      </c>
      <c r="L516" s="263" t="s">
        <v>274</v>
      </c>
      <c r="M516" s="262">
        <v>0</v>
      </c>
      <c r="N516" s="263" t="s">
        <v>274</v>
      </c>
      <c r="O516" s="262">
        <v>0</v>
      </c>
      <c r="P516" s="263" t="s">
        <v>274</v>
      </c>
      <c r="Q516" s="262">
        <v>0</v>
      </c>
      <c r="R516" s="263" t="s">
        <v>274</v>
      </c>
      <c r="S516" s="232"/>
    </row>
    <row r="517" spans="1:21" s="66" customFormat="1" ht="13.5" hidden="1" customHeight="1" x14ac:dyDescent="0.25">
      <c r="A517" s="231"/>
      <c r="B517" s="228" t="s">
        <v>660</v>
      </c>
      <c r="C517" s="262">
        <v>0</v>
      </c>
      <c r="D517" s="263" t="s">
        <v>274</v>
      </c>
      <c r="E517" s="262">
        <v>0</v>
      </c>
      <c r="F517" s="263" t="s">
        <v>274</v>
      </c>
      <c r="G517" s="262">
        <v>0</v>
      </c>
      <c r="H517" s="263" t="s">
        <v>274</v>
      </c>
      <c r="I517" s="262">
        <v>0</v>
      </c>
      <c r="J517" s="263" t="s">
        <v>274</v>
      </c>
      <c r="K517" s="262">
        <v>0</v>
      </c>
      <c r="L517" s="263" t="s">
        <v>274</v>
      </c>
      <c r="M517" s="262">
        <v>0</v>
      </c>
      <c r="N517" s="263" t="s">
        <v>274</v>
      </c>
      <c r="O517" s="262">
        <v>0</v>
      </c>
      <c r="P517" s="263" t="s">
        <v>274</v>
      </c>
      <c r="Q517" s="262">
        <v>0</v>
      </c>
      <c r="R517" s="263" t="s">
        <v>274</v>
      </c>
      <c r="S517" s="232"/>
    </row>
    <row r="518" spans="1:21" s="66" customFormat="1" ht="13.5" hidden="1" customHeight="1" x14ac:dyDescent="0.25">
      <c r="A518" s="231"/>
      <c r="B518" s="228"/>
      <c r="C518" s="262"/>
      <c r="D518" s="263"/>
      <c r="E518" s="262"/>
      <c r="F518" s="263"/>
      <c r="G518" s="262"/>
      <c r="H518" s="263"/>
      <c r="I518" s="262"/>
      <c r="J518" s="263"/>
      <c r="K518" s="262"/>
      <c r="L518" s="263"/>
      <c r="M518" s="262"/>
      <c r="N518" s="263"/>
      <c r="O518" s="262"/>
      <c r="P518" s="263"/>
      <c r="Q518" s="262"/>
      <c r="R518" s="263"/>
      <c r="S518" s="232"/>
    </row>
    <row r="519" spans="1:21" s="66" customFormat="1" ht="13.5" hidden="1" customHeight="1" x14ac:dyDescent="0.25">
      <c r="A519" s="231"/>
      <c r="B519" s="228"/>
      <c r="C519" s="262"/>
      <c r="D519" s="263"/>
      <c r="E519" s="262"/>
      <c r="F519" s="263"/>
      <c r="G519" s="262"/>
      <c r="H519" s="263"/>
      <c r="I519" s="262"/>
      <c r="J519" s="263"/>
      <c r="K519" s="262"/>
      <c r="L519" s="263"/>
      <c r="M519" s="262"/>
      <c r="N519" s="263"/>
      <c r="O519" s="262"/>
      <c r="P519" s="263"/>
      <c r="Q519" s="262"/>
      <c r="R519" s="263"/>
      <c r="S519" s="232"/>
    </row>
    <row r="520" spans="1:21" s="66" customFormat="1" ht="13.5" hidden="1" customHeight="1" x14ac:dyDescent="0.3">
      <c r="A520" s="231"/>
      <c r="B520" s="228"/>
      <c r="C520" s="228"/>
      <c r="D520" s="255"/>
      <c r="E520" s="228"/>
      <c r="F520" s="255"/>
      <c r="G520" s="228"/>
      <c r="H520" s="255"/>
      <c r="I520" s="228"/>
      <c r="J520" s="255"/>
      <c r="K520" s="228"/>
      <c r="L520" s="255"/>
      <c r="M520" s="228"/>
      <c r="N520" s="255"/>
      <c r="O520" s="228"/>
      <c r="P520" s="255"/>
      <c r="Q520" s="228"/>
      <c r="R520" s="255"/>
      <c r="S520" s="232"/>
    </row>
    <row r="521" spans="1:21" s="66" customFormat="1" ht="13.5" hidden="1" customHeight="1" x14ac:dyDescent="0.3">
      <c r="A521" s="231"/>
      <c r="B521" s="228"/>
      <c r="C521" s="228"/>
      <c r="D521" s="255"/>
      <c r="E521" s="228"/>
      <c r="F521" s="255"/>
      <c r="G521" s="228"/>
      <c r="H521" s="255"/>
      <c r="I521" s="228"/>
      <c r="J521" s="255"/>
      <c r="K521" s="228"/>
      <c r="L521" s="255"/>
      <c r="M521" s="228"/>
      <c r="N521" s="255"/>
      <c r="O521" s="228"/>
      <c r="P521" s="255"/>
      <c r="Q521" s="228"/>
      <c r="R521" s="255"/>
      <c r="S521" s="232"/>
    </row>
    <row r="522" spans="1:21" s="66" customFormat="1" ht="13.5" customHeight="1" thickBot="1" x14ac:dyDescent="0.3">
      <c r="A522" s="84"/>
      <c r="B522" s="42"/>
      <c r="C522" s="264"/>
      <c r="D522" s="265"/>
      <c r="E522" s="264"/>
      <c r="F522" s="265"/>
      <c r="G522" s="264"/>
      <c r="H522" s="265"/>
      <c r="I522" s="264"/>
      <c r="J522" s="265"/>
      <c r="K522" s="264"/>
      <c r="L522" s="265"/>
      <c r="M522" s="264"/>
      <c r="N522" s="265"/>
      <c r="O522" s="264"/>
      <c r="P522" s="265"/>
      <c r="Q522" s="264"/>
      <c r="R522" s="265"/>
      <c r="S522" s="87"/>
    </row>
    <row r="523" spans="1:21" s="66" customFormat="1" ht="16.5" customHeight="1" thickBot="1" x14ac:dyDescent="0.4">
      <c r="A523" s="84"/>
      <c r="B523" s="93" t="s">
        <v>661</v>
      </c>
      <c r="C523" s="739" t="str">
        <f>$C$80</f>
        <v>Line card (C-NET) FCL2001-A1</v>
      </c>
      <c r="D523" s="740"/>
      <c r="E523" s="740"/>
      <c r="F523" s="740"/>
      <c r="G523" s="740"/>
      <c r="H523" s="740"/>
      <c r="I523" s="740"/>
      <c r="J523" s="740"/>
      <c r="K523" s="740"/>
      <c r="L523" s="740"/>
      <c r="M523" s="740"/>
      <c r="N523" s="740"/>
      <c r="O523" s="740"/>
      <c r="P523" s="740"/>
      <c r="Q523" s="740"/>
      <c r="R523" s="741"/>
      <c r="S523" s="266"/>
    </row>
    <row r="524" spans="1:21" s="66" customFormat="1" ht="16.5" customHeight="1" thickBot="1" x14ac:dyDescent="0.3">
      <c r="A524" s="84"/>
      <c r="B524" s="96"/>
      <c r="C524" s="729" t="str">
        <f>C$82</f>
        <v>Stub1_1</v>
      </c>
      <c r="D524" s="730"/>
      <c r="E524" s="730" t="str">
        <f>E$82</f>
        <v>Stub1_2</v>
      </c>
      <c r="F524" s="731"/>
      <c r="G524" s="729" t="str">
        <f>G$82</f>
        <v>Stub2_1</v>
      </c>
      <c r="H524" s="730"/>
      <c r="I524" s="730" t="str">
        <f>I$82</f>
        <v>Stub2_2</v>
      </c>
      <c r="J524" s="731"/>
      <c r="K524" s="729" t="str">
        <f>K$82</f>
        <v>Stub3_1</v>
      </c>
      <c r="L524" s="730"/>
      <c r="M524" s="730" t="str">
        <f>M$82</f>
        <v>Stub3_2</v>
      </c>
      <c r="N524" s="731"/>
      <c r="O524" s="729" t="str">
        <f>O$82</f>
        <v>Stub4_1</v>
      </c>
      <c r="P524" s="730"/>
      <c r="Q524" s="730" t="str">
        <f>Q$82</f>
        <v>Stub4_2</v>
      </c>
      <c r="R524" s="731"/>
      <c r="S524" s="87"/>
    </row>
    <row r="525" spans="1:21" s="66" customFormat="1" ht="13.5" hidden="1" customHeight="1" x14ac:dyDescent="0.25">
      <c r="A525" s="231"/>
      <c r="B525" s="228"/>
      <c r="C525" s="267"/>
      <c r="D525" s="77"/>
      <c r="E525" s="267"/>
      <c r="F525" s="77"/>
      <c r="G525" s="267"/>
      <c r="H525" s="77"/>
      <c r="I525" s="267"/>
      <c r="J525" s="77"/>
      <c r="K525" s="267"/>
      <c r="L525" s="77"/>
      <c r="M525" s="267"/>
      <c r="N525" s="77"/>
      <c r="O525" s="267"/>
      <c r="P525" s="77"/>
      <c r="Q525" s="267"/>
      <c r="R525" s="77"/>
      <c r="S525" s="232"/>
    </row>
    <row r="526" spans="1:21" s="66" customFormat="1" ht="13.5" hidden="1" customHeight="1" x14ac:dyDescent="0.25">
      <c r="A526" s="231"/>
      <c r="B526" s="228" t="s">
        <v>662</v>
      </c>
      <c r="C526" s="267">
        <v>0</v>
      </c>
      <c r="D526" s="77" t="s">
        <v>301</v>
      </c>
      <c r="E526" s="267">
        <v>0</v>
      </c>
      <c r="F526" s="77" t="s">
        <v>301</v>
      </c>
      <c r="G526" s="267">
        <v>0</v>
      </c>
      <c r="H526" s="77" t="s">
        <v>301</v>
      </c>
      <c r="I526" s="267">
        <v>0</v>
      </c>
      <c r="J526" s="77" t="s">
        <v>301</v>
      </c>
      <c r="K526" s="267">
        <v>0</v>
      </c>
      <c r="L526" s="77" t="s">
        <v>301</v>
      </c>
      <c r="M526" s="267">
        <v>0</v>
      </c>
      <c r="N526" s="77" t="s">
        <v>301</v>
      </c>
      <c r="O526" s="267">
        <v>0</v>
      </c>
      <c r="P526" s="77" t="s">
        <v>301</v>
      </c>
      <c r="Q526" s="267">
        <v>0</v>
      </c>
      <c r="R526" s="77" t="s">
        <v>301</v>
      </c>
      <c r="S526" s="232"/>
      <c r="U526" s="42"/>
    </row>
    <row r="527" spans="1:21" s="66" customFormat="1" ht="13.5" hidden="1" customHeight="1" x14ac:dyDescent="0.25">
      <c r="A527" s="231"/>
      <c r="B527" s="228" t="s">
        <v>663</v>
      </c>
      <c r="C527" s="267">
        <v>0</v>
      </c>
      <c r="D527" s="77" t="s">
        <v>301</v>
      </c>
      <c r="E527" s="267">
        <v>0</v>
      </c>
      <c r="F527" s="77" t="s">
        <v>301</v>
      </c>
      <c r="G527" s="267">
        <v>0</v>
      </c>
      <c r="H527" s="77" t="s">
        <v>301</v>
      </c>
      <c r="I527" s="267">
        <v>0</v>
      </c>
      <c r="J527" s="77" t="s">
        <v>301</v>
      </c>
      <c r="K527" s="267">
        <v>0</v>
      </c>
      <c r="L527" s="77" t="s">
        <v>301</v>
      </c>
      <c r="M527" s="267">
        <v>0</v>
      </c>
      <c r="N527" s="77" t="s">
        <v>301</v>
      </c>
      <c r="O527" s="267">
        <v>0</v>
      </c>
      <c r="P527" s="77" t="s">
        <v>301</v>
      </c>
      <c r="Q527" s="267">
        <v>0</v>
      </c>
      <c r="R527" s="77" t="s">
        <v>301</v>
      </c>
      <c r="S527" s="232"/>
      <c r="U527" s="42"/>
    </row>
    <row r="528" spans="1:21" s="66" customFormat="1" ht="13.5" hidden="1" customHeight="1" x14ac:dyDescent="0.25">
      <c r="A528" s="231"/>
      <c r="B528" s="228" t="s">
        <v>664</v>
      </c>
      <c r="C528" s="262">
        <v>21.6</v>
      </c>
      <c r="D528" s="263" t="s">
        <v>274</v>
      </c>
      <c r="E528" s="262">
        <v>0.125</v>
      </c>
      <c r="F528" s="263" t="s">
        <v>274</v>
      </c>
      <c r="G528" s="262">
        <v>21.6</v>
      </c>
      <c r="H528" s="263" t="s">
        <v>274</v>
      </c>
      <c r="I528" s="262">
        <v>0.125</v>
      </c>
      <c r="J528" s="263" t="s">
        <v>274</v>
      </c>
      <c r="K528" s="262">
        <v>21.576000000000001</v>
      </c>
      <c r="L528" s="263" t="s">
        <v>274</v>
      </c>
      <c r="M528" s="262">
        <v>0.125</v>
      </c>
      <c r="N528" s="263" t="s">
        <v>274</v>
      </c>
      <c r="O528" s="262">
        <v>21.576000000000001</v>
      </c>
      <c r="P528" s="263" t="s">
        <v>274</v>
      </c>
      <c r="Q528" s="262">
        <v>0.125</v>
      </c>
      <c r="R528" s="263" t="s">
        <v>274</v>
      </c>
      <c r="S528" s="232"/>
      <c r="U528" s="42"/>
    </row>
    <row r="529" spans="1:21" s="66" customFormat="1" ht="13.5" hidden="1" customHeight="1" x14ac:dyDescent="0.25">
      <c r="A529" s="231"/>
      <c r="B529" s="228" t="s">
        <v>665</v>
      </c>
      <c r="C529" s="268">
        <v>0</v>
      </c>
      <c r="D529" s="77" t="s">
        <v>57</v>
      </c>
      <c r="E529" s="268">
        <v>0</v>
      </c>
      <c r="F529" s="77" t="s">
        <v>57</v>
      </c>
      <c r="G529" s="268">
        <v>0</v>
      </c>
      <c r="H529" s="77" t="s">
        <v>57</v>
      </c>
      <c r="I529" s="268">
        <v>0</v>
      </c>
      <c r="J529" s="77" t="s">
        <v>57</v>
      </c>
      <c r="K529" s="268">
        <v>0</v>
      </c>
      <c r="L529" s="77" t="s">
        <v>57</v>
      </c>
      <c r="M529" s="268">
        <v>0</v>
      </c>
      <c r="N529" s="77" t="s">
        <v>57</v>
      </c>
      <c r="O529" s="268">
        <v>0</v>
      </c>
      <c r="P529" s="77" t="s">
        <v>57</v>
      </c>
      <c r="Q529" s="268">
        <v>0</v>
      </c>
      <c r="R529" s="77" t="s">
        <v>57</v>
      </c>
      <c r="S529" s="232"/>
      <c r="U529" s="42"/>
    </row>
    <row r="530" spans="1:21" s="66" customFormat="1" ht="13.5" hidden="1" customHeight="1" x14ac:dyDescent="0.25">
      <c r="A530" s="231"/>
      <c r="B530" s="228" t="s">
        <v>666</v>
      </c>
      <c r="C530" s="267">
        <v>0</v>
      </c>
      <c r="D530" s="269" t="s">
        <v>301</v>
      </c>
      <c r="E530" s="267">
        <v>0</v>
      </c>
      <c r="F530" s="269" t="s">
        <v>301</v>
      </c>
      <c r="G530" s="267">
        <v>0</v>
      </c>
      <c r="H530" s="269" t="s">
        <v>301</v>
      </c>
      <c r="I530" s="267">
        <v>0</v>
      </c>
      <c r="J530" s="269" t="s">
        <v>301</v>
      </c>
      <c r="K530" s="267">
        <v>0</v>
      </c>
      <c r="L530" s="269" t="s">
        <v>301</v>
      </c>
      <c r="M530" s="267">
        <v>0</v>
      </c>
      <c r="N530" s="269" t="s">
        <v>301</v>
      </c>
      <c r="O530" s="267">
        <v>0</v>
      </c>
      <c r="P530" s="269" t="s">
        <v>301</v>
      </c>
      <c r="Q530" s="267">
        <v>0</v>
      </c>
      <c r="R530" s="269" t="s">
        <v>301</v>
      </c>
      <c r="S530" s="232"/>
      <c r="U530" s="42"/>
    </row>
    <row r="531" spans="1:21" s="66" customFormat="1" ht="13.5" hidden="1" customHeight="1" x14ac:dyDescent="0.25">
      <c r="A531" s="231"/>
      <c r="B531" s="228" t="s">
        <v>667</v>
      </c>
      <c r="C531" s="251">
        <v>0</v>
      </c>
      <c r="D531" s="263" t="s">
        <v>301</v>
      </c>
      <c r="E531" s="251">
        <v>0</v>
      </c>
      <c r="F531" s="263" t="s">
        <v>301</v>
      </c>
      <c r="G531" s="251">
        <v>0</v>
      </c>
      <c r="H531" s="263" t="s">
        <v>301</v>
      </c>
      <c r="I531" s="251">
        <v>0</v>
      </c>
      <c r="J531" s="263" t="s">
        <v>301</v>
      </c>
      <c r="K531" s="251">
        <v>0</v>
      </c>
      <c r="L531" s="263" t="s">
        <v>301</v>
      </c>
      <c r="M531" s="251">
        <v>0</v>
      </c>
      <c r="N531" s="263" t="s">
        <v>301</v>
      </c>
      <c r="O531" s="251">
        <v>0</v>
      </c>
      <c r="P531" s="263" t="s">
        <v>301</v>
      </c>
      <c r="Q531" s="251">
        <v>0</v>
      </c>
      <c r="R531" s="263" t="s">
        <v>301</v>
      </c>
      <c r="S531" s="232"/>
      <c r="U531" s="42"/>
    </row>
    <row r="532" spans="1:21" s="66" customFormat="1" ht="13.5" hidden="1" customHeight="1" thickBot="1" x14ac:dyDescent="0.35">
      <c r="A532" s="231"/>
      <c r="B532" s="77"/>
      <c r="C532" s="270"/>
      <c r="D532" s="271"/>
      <c r="E532" s="270"/>
      <c r="F532" s="271"/>
      <c r="G532" s="270"/>
      <c r="H532" s="271"/>
      <c r="I532" s="270"/>
      <c r="J532" s="271"/>
      <c r="K532" s="270"/>
      <c r="L532" s="271"/>
      <c r="M532" s="270"/>
      <c r="N532" s="271"/>
      <c r="O532" s="270"/>
      <c r="P532" s="271"/>
      <c r="Q532" s="270"/>
      <c r="R532" s="271"/>
      <c r="S532" s="232"/>
    </row>
    <row r="533" spans="1:21" s="66" customFormat="1" ht="13.5" customHeight="1" x14ac:dyDescent="0.3">
      <c r="A533" s="84"/>
      <c r="B533" s="272" t="s">
        <v>668</v>
      </c>
      <c r="C533" s="273">
        <v>0.5</v>
      </c>
      <c r="D533" s="274" t="s">
        <v>57</v>
      </c>
      <c r="E533" s="275">
        <v>0.5</v>
      </c>
      <c r="F533" s="276" t="s">
        <v>57</v>
      </c>
      <c r="G533" s="273">
        <v>0.5</v>
      </c>
      <c r="H533" s="274" t="s">
        <v>57</v>
      </c>
      <c r="I533" s="275">
        <v>0.5</v>
      </c>
      <c r="J533" s="276" t="s">
        <v>57</v>
      </c>
      <c r="K533" s="277">
        <v>0.5</v>
      </c>
      <c r="L533" s="274" t="s">
        <v>57</v>
      </c>
      <c r="M533" s="275">
        <v>0.5</v>
      </c>
      <c r="N533" s="276" t="s">
        <v>57</v>
      </c>
      <c r="O533" s="273">
        <v>0.5</v>
      </c>
      <c r="P533" s="274" t="s">
        <v>57</v>
      </c>
      <c r="Q533" s="275">
        <v>0.5</v>
      </c>
      <c r="R533" s="278" t="s">
        <v>57</v>
      </c>
      <c r="S533" s="87"/>
      <c r="U533" s="42"/>
    </row>
    <row r="534" spans="1:21" s="66" customFormat="1" ht="13.5" customHeight="1" x14ac:dyDescent="0.25">
      <c r="A534" s="84"/>
      <c r="B534" s="279" t="s">
        <v>669</v>
      </c>
      <c r="C534" s="280">
        <v>0</v>
      </c>
      <c r="D534" s="281" t="s">
        <v>57</v>
      </c>
      <c r="E534" s="282">
        <v>0</v>
      </c>
      <c r="F534" s="283" t="s">
        <v>57</v>
      </c>
      <c r="G534" s="280">
        <v>0</v>
      </c>
      <c r="H534" s="281" t="s">
        <v>57</v>
      </c>
      <c r="I534" s="282">
        <v>0</v>
      </c>
      <c r="J534" s="283" t="s">
        <v>57</v>
      </c>
      <c r="K534" s="284">
        <v>0</v>
      </c>
      <c r="L534" s="281" t="s">
        <v>57</v>
      </c>
      <c r="M534" s="282">
        <v>0</v>
      </c>
      <c r="N534" s="283" t="s">
        <v>57</v>
      </c>
      <c r="O534" s="280">
        <v>0</v>
      </c>
      <c r="P534" s="281" t="s">
        <v>57</v>
      </c>
      <c r="Q534" s="282">
        <v>0</v>
      </c>
      <c r="R534" s="285" t="s">
        <v>57</v>
      </c>
      <c r="S534" s="87"/>
    </row>
    <row r="535" spans="1:21" s="66" customFormat="1" ht="13.5" hidden="1" customHeight="1" x14ac:dyDescent="0.3">
      <c r="A535" s="84"/>
      <c r="B535" s="191"/>
      <c r="C535" s="286"/>
      <c r="D535" s="287"/>
      <c r="E535" s="286"/>
      <c r="F535" s="287"/>
      <c r="G535" s="286"/>
      <c r="H535" s="287"/>
      <c r="I535" s="286"/>
      <c r="J535" s="287"/>
      <c r="K535" s="286"/>
      <c r="L535" s="287"/>
      <c r="M535" s="286"/>
      <c r="N535" s="287"/>
      <c r="O535" s="286"/>
      <c r="P535" s="287"/>
      <c r="Q535" s="286"/>
      <c r="R535" s="287"/>
      <c r="S535" s="232"/>
    </row>
    <row r="536" spans="1:21" s="66" customFormat="1" ht="13.5" customHeight="1" x14ac:dyDescent="0.3">
      <c r="A536" s="84"/>
      <c r="B536" s="203" t="s">
        <v>670</v>
      </c>
      <c r="C536" s="754">
        <v>0.5</v>
      </c>
      <c r="D536" s="755"/>
      <c r="E536" s="755"/>
      <c r="F536" s="755"/>
      <c r="G536" s="755"/>
      <c r="H536" s="755"/>
      <c r="I536" s="755"/>
      <c r="J536" s="755"/>
      <c r="K536" s="755"/>
      <c r="L536" s="755"/>
      <c r="M536" s="755"/>
      <c r="N536" s="755"/>
      <c r="O536" s="755"/>
      <c r="P536" s="755"/>
      <c r="Q536" s="755"/>
      <c r="R536" s="756"/>
      <c r="S536" s="266"/>
      <c r="U536" s="42"/>
    </row>
    <row r="537" spans="1:21" s="66" customFormat="1" ht="13.5" customHeight="1" x14ac:dyDescent="0.25">
      <c r="A537" s="84"/>
      <c r="B537" s="279" t="s">
        <v>671</v>
      </c>
      <c r="C537" s="757">
        <v>0.5</v>
      </c>
      <c r="D537" s="758"/>
      <c r="E537" s="758"/>
      <c r="F537" s="758"/>
      <c r="G537" s="758"/>
      <c r="H537" s="758"/>
      <c r="I537" s="758"/>
      <c r="J537" s="758"/>
      <c r="K537" s="758"/>
      <c r="L537" s="758"/>
      <c r="M537" s="758"/>
      <c r="N537" s="758"/>
      <c r="O537" s="758"/>
      <c r="P537" s="758"/>
      <c r="Q537" s="758"/>
      <c r="R537" s="759"/>
      <c r="S537" s="266"/>
    </row>
    <row r="538" spans="1:21" s="66" customFormat="1" ht="13.5" customHeight="1" thickBot="1" x14ac:dyDescent="0.3">
      <c r="A538" s="84"/>
      <c r="B538" s="206" t="s">
        <v>672</v>
      </c>
      <c r="C538" s="760">
        <v>3.9E-2</v>
      </c>
      <c r="D538" s="761"/>
      <c r="E538" s="761"/>
      <c r="F538" s="761"/>
      <c r="G538" s="761"/>
      <c r="H538" s="761"/>
      <c r="I538" s="761"/>
      <c r="J538" s="761"/>
      <c r="K538" s="761"/>
      <c r="L538" s="761"/>
      <c r="M538" s="761"/>
      <c r="N538" s="761"/>
      <c r="O538" s="761"/>
      <c r="P538" s="761"/>
      <c r="Q538" s="761"/>
      <c r="R538" s="762"/>
      <c r="S538" s="266"/>
      <c r="U538" s="42"/>
    </row>
    <row r="539" spans="1:21" s="66" customFormat="1" ht="13.5" hidden="1" customHeight="1" x14ac:dyDescent="0.25">
      <c r="A539" s="231"/>
      <c r="B539" s="228"/>
      <c r="C539" s="228"/>
      <c r="D539" s="228"/>
      <c r="E539" s="228"/>
      <c r="F539" s="228"/>
      <c r="G539" s="228"/>
      <c r="H539" s="228"/>
      <c r="I539" s="228"/>
      <c r="J539" s="228"/>
      <c r="K539" s="228"/>
      <c r="L539" s="228"/>
      <c r="M539" s="228"/>
      <c r="N539" s="228"/>
      <c r="O539" s="228"/>
      <c r="P539" s="228"/>
      <c r="Q539" s="228"/>
      <c r="R539" s="228"/>
      <c r="S539" s="232"/>
    </row>
    <row r="540" spans="1:21" s="66" customFormat="1" ht="13.5" customHeight="1" thickBot="1" x14ac:dyDescent="0.3">
      <c r="A540" s="84"/>
      <c r="B540" s="42"/>
      <c r="C540" s="42"/>
      <c r="D540" s="42"/>
      <c r="E540" s="42"/>
      <c r="F540" s="42"/>
      <c r="G540" s="42"/>
      <c r="H540" s="42"/>
      <c r="I540" s="42"/>
      <c r="J540" s="42"/>
      <c r="K540" s="42"/>
      <c r="L540" s="42"/>
      <c r="M540" s="42"/>
      <c r="N540" s="42"/>
      <c r="O540" s="42"/>
      <c r="P540" s="42"/>
      <c r="Q540" s="42"/>
      <c r="R540" s="42"/>
      <c r="S540" s="87"/>
    </row>
    <row r="541" spans="1:21" s="66" customFormat="1" ht="16.5" customHeight="1" thickBot="1" x14ac:dyDescent="0.4">
      <c r="A541" s="84"/>
      <c r="B541" s="93" t="s">
        <v>673</v>
      </c>
      <c r="C541" s="739" t="str">
        <f>$C$80</f>
        <v>Line card (C-NET) FCL2001-A1</v>
      </c>
      <c r="D541" s="740"/>
      <c r="E541" s="740"/>
      <c r="F541" s="740"/>
      <c r="G541" s="740"/>
      <c r="H541" s="740"/>
      <c r="I541" s="740"/>
      <c r="J541" s="740"/>
      <c r="K541" s="740"/>
      <c r="L541" s="740"/>
      <c r="M541" s="740"/>
      <c r="N541" s="740"/>
      <c r="O541" s="740"/>
      <c r="P541" s="740"/>
      <c r="Q541" s="740"/>
      <c r="R541" s="741"/>
      <c r="S541" s="266"/>
    </row>
    <row r="542" spans="1:21" s="66" customFormat="1" ht="16.5" customHeight="1" thickBot="1" x14ac:dyDescent="0.3">
      <c r="A542" s="84"/>
      <c r="B542" s="96"/>
      <c r="C542" s="729" t="str">
        <f>C$82</f>
        <v>Stub1_1</v>
      </c>
      <c r="D542" s="730"/>
      <c r="E542" s="730" t="str">
        <f>E$82</f>
        <v>Stub1_2</v>
      </c>
      <c r="F542" s="731"/>
      <c r="G542" s="729" t="str">
        <f>G$82</f>
        <v>Stub2_1</v>
      </c>
      <c r="H542" s="730"/>
      <c r="I542" s="730" t="str">
        <f>I$82</f>
        <v>Stub2_2</v>
      </c>
      <c r="J542" s="731"/>
      <c r="K542" s="729" t="str">
        <f>K$82</f>
        <v>Stub3_1</v>
      </c>
      <c r="L542" s="730"/>
      <c r="M542" s="730" t="str">
        <f>M$82</f>
        <v>Stub3_2</v>
      </c>
      <c r="N542" s="731"/>
      <c r="O542" s="729" t="str">
        <f>O$82</f>
        <v>Stub4_1</v>
      </c>
      <c r="P542" s="730"/>
      <c r="Q542" s="730" t="str">
        <f>Q$82</f>
        <v>Stub4_2</v>
      </c>
      <c r="R542" s="731"/>
      <c r="S542" s="87"/>
    </row>
    <row r="543" spans="1:21" s="66" customFormat="1" ht="13.5" hidden="1" customHeight="1" x14ac:dyDescent="0.25">
      <c r="A543" s="231"/>
      <c r="B543" s="228" t="s">
        <v>674</v>
      </c>
      <c r="C543" s="288">
        <v>0</v>
      </c>
      <c r="D543" s="228" t="s">
        <v>301</v>
      </c>
      <c r="E543" s="288">
        <v>0</v>
      </c>
      <c r="F543" s="228" t="s">
        <v>301</v>
      </c>
      <c r="G543" s="288">
        <v>0</v>
      </c>
      <c r="H543" s="228" t="s">
        <v>301</v>
      </c>
      <c r="I543" s="288">
        <v>0</v>
      </c>
      <c r="J543" s="228" t="s">
        <v>301</v>
      </c>
      <c r="K543" s="288">
        <v>0</v>
      </c>
      <c r="L543" s="228" t="s">
        <v>301</v>
      </c>
      <c r="M543" s="288">
        <v>0</v>
      </c>
      <c r="N543" s="228" t="s">
        <v>301</v>
      </c>
      <c r="O543" s="288">
        <v>0</v>
      </c>
      <c r="P543" s="228" t="s">
        <v>301</v>
      </c>
      <c r="Q543" s="288">
        <v>0</v>
      </c>
      <c r="R543" s="228" t="s">
        <v>301</v>
      </c>
      <c r="S543" s="232"/>
    </row>
    <row r="544" spans="1:21" s="66" customFormat="1" ht="13.5" hidden="1" customHeight="1" thickBot="1" x14ac:dyDescent="0.3">
      <c r="A544" s="231"/>
      <c r="B544" s="228" t="s">
        <v>675</v>
      </c>
      <c r="C544" s="251">
        <v>0</v>
      </c>
      <c r="D544" s="263" t="s">
        <v>301</v>
      </c>
      <c r="E544" s="251">
        <v>0</v>
      </c>
      <c r="F544" s="263" t="s">
        <v>301</v>
      </c>
      <c r="G544" s="251">
        <v>0</v>
      </c>
      <c r="H544" s="263" t="s">
        <v>301</v>
      </c>
      <c r="I544" s="251">
        <v>0</v>
      </c>
      <c r="J544" s="263" t="s">
        <v>301</v>
      </c>
      <c r="K544" s="251">
        <v>0</v>
      </c>
      <c r="L544" s="263" t="s">
        <v>301</v>
      </c>
      <c r="M544" s="251">
        <v>0</v>
      </c>
      <c r="N544" s="263" t="s">
        <v>301</v>
      </c>
      <c r="O544" s="251">
        <v>0</v>
      </c>
      <c r="P544" s="263" t="s">
        <v>301</v>
      </c>
      <c r="Q544" s="251">
        <v>0</v>
      </c>
      <c r="R544" s="263" t="s">
        <v>301</v>
      </c>
      <c r="S544" s="232"/>
    </row>
    <row r="545" spans="1:19" s="66" customFormat="1" ht="13.5" customHeight="1" x14ac:dyDescent="0.25">
      <c r="A545" s="84"/>
      <c r="B545" s="272" t="s">
        <v>676</v>
      </c>
      <c r="C545" s="289">
        <v>0</v>
      </c>
      <c r="D545" s="290" t="s">
        <v>57</v>
      </c>
      <c r="E545" s="291">
        <v>0</v>
      </c>
      <c r="F545" s="292" t="s">
        <v>57</v>
      </c>
      <c r="G545" s="289">
        <v>0</v>
      </c>
      <c r="H545" s="290" t="s">
        <v>57</v>
      </c>
      <c r="I545" s="291">
        <v>0</v>
      </c>
      <c r="J545" s="292" t="s">
        <v>57</v>
      </c>
      <c r="K545" s="289">
        <v>0</v>
      </c>
      <c r="L545" s="290" t="s">
        <v>57</v>
      </c>
      <c r="M545" s="291">
        <v>0</v>
      </c>
      <c r="N545" s="292" t="s">
        <v>57</v>
      </c>
      <c r="O545" s="289">
        <v>0</v>
      </c>
      <c r="P545" s="290" t="s">
        <v>57</v>
      </c>
      <c r="Q545" s="291">
        <v>0</v>
      </c>
      <c r="R545" s="293" t="s">
        <v>57</v>
      </c>
      <c r="S545" s="87"/>
    </row>
    <row r="546" spans="1:19" s="66" customFormat="1" ht="13.5" hidden="1" customHeight="1" x14ac:dyDescent="0.25">
      <c r="A546" s="231"/>
      <c r="B546" s="218"/>
      <c r="C546" s="218"/>
      <c r="D546" s="218"/>
      <c r="E546" s="218"/>
      <c r="F546" s="218"/>
      <c r="G546" s="218"/>
      <c r="H546" s="218"/>
      <c r="I546" s="218"/>
      <c r="J546" s="218"/>
      <c r="K546" s="218"/>
      <c r="L546" s="218"/>
      <c r="M546" s="218"/>
      <c r="N546" s="218"/>
      <c r="O546" s="218"/>
      <c r="P546" s="218"/>
      <c r="Q546" s="218"/>
      <c r="R546" s="218"/>
      <c r="S546" s="232"/>
    </row>
    <row r="547" spans="1:19" s="66" customFormat="1" ht="13.5" customHeight="1" x14ac:dyDescent="0.25">
      <c r="A547" s="84"/>
      <c r="B547" s="203" t="s">
        <v>677</v>
      </c>
      <c r="C547" s="770">
        <v>0</v>
      </c>
      <c r="D547" s="771"/>
      <c r="E547" s="771"/>
      <c r="F547" s="771"/>
      <c r="G547" s="771"/>
      <c r="H547" s="771"/>
      <c r="I547" s="771"/>
      <c r="J547" s="771"/>
      <c r="K547" s="771"/>
      <c r="L547" s="771"/>
      <c r="M547" s="771"/>
      <c r="N547" s="771"/>
      <c r="O547" s="771"/>
      <c r="P547" s="771"/>
      <c r="Q547" s="771"/>
      <c r="R547" s="772"/>
      <c r="S547" s="266"/>
    </row>
    <row r="548" spans="1:19" s="66" customFormat="1" ht="13.5" customHeight="1" thickBot="1" x14ac:dyDescent="0.3">
      <c r="A548" s="84"/>
      <c r="B548" s="206" t="s">
        <v>678</v>
      </c>
      <c r="C548" s="773">
        <v>3.9E-2</v>
      </c>
      <c r="D548" s="774"/>
      <c r="E548" s="774"/>
      <c r="F548" s="774"/>
      <c r="G548" s="774"/>
      <c r="H548" s="774"/>
      <c r="I548" s="774"/>
      <c r="J548" s="774"/>
      <c r="K548" s="774"/>
      <c r="L548" s="774"/>
      <c r="M548" s="774"/>
      <c r="N548" s="774"/>
      <c r="O548" s="774"/>
      <c r="P548" s="774"/>
      <c r="Q548" s="774"/>
      <c r="R548" s="775"/>
      <c r="S548" s="266"/>
    </row>
    <row r="549" spans="1:19" s="66" customFormat="1" ht="13.5" hidden="1" customHeight="1" x14ac:dyDescent="0.25">
      <c r="A549" s="231"/>
      <c r="B549" s="228"/>
      <c r="C549" s="228"/>
      <c r="D549" s="228"/>
      <c r="E549" s="228"/>
      <c r="F549" s="228"/>
      <c r="G549" s="228"/>
      <c r="H549" s="228"/>
      <c r="I549" s="228"/>
      <c r="J549" s="228"/>
      <c r="K549" s="228"/>
      <c r="L549" s="228"/>
      <c r="M549" s="228"/>
      <c r="N549" s="228"/>
      <c r="O549" s="228"/>
      <c r="P549" s="228"/>
      <c r="Q549" s="228"/>
      <c r="R549" s="228"/>
      <c r="S549" s="232"/>
    </row>
    <row r="550" spans="1:19" s="66" customFormat="1" ht="13.5" hidden="1" customHeight="1" x14ac:dyDescent="0.25">
      <c r="A550" s="231"/>
      <c r="B550" s="228"/>
      <c r="C550" s="228"/>
      <c r="D550" s="228"/>
      <c r="E550" s="228"/>
      <c r="F550" s="228"/>
      <c r="G550" s="228"/>
      <c r="H550" s="228"/>
      <c r="I550" s="228"/>
      <c r="J550" s="228"/>
      <c r="K550" s="228"/>
      <c r="L550" s="228"/>
      <c r="M550" s="228"/>
      <c r="N550" s="228"/>
      <c r="O550" s="228"/>
      <c r="P550" s="228"/>
      <c r="Q550" s="228"/>
      <c r="R550" s="228"/>
      <c r="S550" s="232"/>
    </row>
    <row r="551" spans="1:19" s="66" customFormat="1" ht="13.5" hidden="1" customHeight="1" x14ac:dyDescent="0.25">
      <c r="A551" s="231"/>
      <c r="B551" s="228"/>
      <c r="C551" s="228"/>
      <c r="D551" s="228"/>
      <c r="E551" s="228"/>
      <c r="F551" s="228"/>
      <c r="G551" s="228"/>
      <c r="H551" s="228"/>
      <c r="I551" s="228"/>
      <c r="J551" s="228"/>
      <c r="K551" s="228"/>
      <c r="L551" s="228"/>
      <c r="M551" s="228"/>
      <c r="N551" s="228"/>
      <c r="O551" s="228"/>
      <c r="P551" s="228"/>
      <c r="Q551" s="228"/>
      <c r="R551" s="228"/>
      <c r="S551" s="232"/>
    </row>
    <row r="552" spans="1:19" s="66" customFormat="1" ht="13.5" hidden="1" customHeight="1" x14ac:dyDescent="0.3">
      <c r="A552" s="231"/>
      <c r="B552" s="250"/>
      <c r="C552" s="228"/>
      <c r="D552" s="228"/>
      <c r="E552" s="228"/>
      <c r="F552" s="228"/>
      <c r="G552" s="228"/>
      <c r="H552" s="228"/>
      <c r="I552" s="228"/>
      <c r="J552" s="228"/>
      <c r="K552" s="228"/>
      <c r="L552" s="228"/>
      <c r="M552" s="228"/>
      <c r="N552" s="228"/>
      <c r="O552" s="228"/>
      <c r="P552" s="228"/>
      <c r="Q552" s="228"/>
      <c r="R552" s="228"/>
      <c r="S552" s="232"/>
    </row>
    <row r="553" spans="1:19" s="66" customFormat="1" ht="13.5" customHeight="1" thickBot="1" x14ac:dyDescent="0.35">
      <c r="A553" s="84"/>
      <c r="B553" s="43"/>
      <c r="C553" s="42"/>
      <c r="D553" s="42"/>
      <c r="E553" s="42"/>
      <c r="F553" s="42"/>
      <c r="G553" s="42"/>
      <c r="H553" s="42"/>
      <c r="I553" s="42"/>
      <c r="J553" s="42"/>
      <c r="K553" s="42"/>
      <c r="L553" s="42"/>
      <c r="M553" s="42"/>
      <c r="N553" s="42"/>
      <c r="O553" s="42"/>
      <c r="P553" s="42"/>
      <c r="Q553" s="42"/>
      <c r="R553" s="42"/>
      <c r="S553" s="87"/>
    </row>
    <row r="554" spans="1:19" s="66" customFormat="1" ht="16.5" customHeight="1" thickBot="1" x14ac:dyDescent="0.4">
      <c r="A554" s="84"/>
      <c r="B554" s="93" t="s">
        <v>679</v>
      </c>
      <c r="C554" s="739" t="str">
        <f>$C$80</f>
        <v>Line card (C-NET) FCL2001-A1</v>
      </c>
      <c r="D554" s="740"/>
      <c r="E554" s="740"/>
      <c r="F554" s="740"/>
      <c r="G554" s="740"/>
      <c r="H554" s="740"/>
      <c r="I554" s="740"/>
      <c r="J554" s="740"/>
      <c r="K554" s="740"/>
      <c r="L554" s="740"/>
      <c r="M554" s="740"/>
      <c r="N554" s="740"/>
      <c r="O554" s="740"/>
      <c r="P554" s="740"/>
      <c r="Q554" s="740"/>
      <c r="R554" s="741"/>
      <c r="S554" s="266"/>
    </row>
    <row r="555" spans="1:19" s="66" customFormat="1" ht="16.5" customHeight="1" thickBot="1" x14ac:dyDescent="0.3">
      <c r="A555" s="84"/>
      <c r="B555" s="96"/>
      <c r="C555" s="729" t="str">
        <f>C$82</f>
        <v>Stub1_1</v>
      </c>
      <c r="D555" s="730"/>
      <c r="E555" s="730" t="str">
        <f>E$82</f>
        <v>Stub1_2</v>
      </c>
      <c r="F555" s="731"/>
      <c r="G555" s="729" t="str">
        <f>G$82</f>
        <v>Stub2_1</v>
      </c>
      <c r="H555" s="730"/>
      <c r="I555" s="730" t="str">
        <f>I$82</f>
        <v>Stub2_2</v>
      </c>
      <c r="J555" s="731"/>
      <c r="K555" s="729" t="str">
        <f>K$82</f>
        <v>Stub3_1</v>
      </c>
      <c r="L555" s="730"/>
      <c r="M555" s="730" t="str">
        <f>M$82</f>
        <v>Stub3_2</v>
      </c>
      <c r="N555" s="731"/>
      <c r="O555" s="729" t="str">
        <f>O$82</f>
        <v>Stub4_1</v>
      </c>
      <c r="P555" s="730"/>
      <c r="Q555" s="730" t="str">
        <f>Q$82</f>
        <v>Stub4_2</v>
      </c>
      <c r="R555" s="731"/>
      <c r="S555" s="87"/>
    </row>
    <row r="556" spans="1:19" s="66" customFormat="1" ht="13.5" hidden="1" customHeight="1" thickBot="1" x14ac:dyDescent="0.35">
      <c r="A556" s="231"/>
      <c r="B556" s="250" t="s">
        <v>680</v>
      </c>
      <c r="C556" s="228"/>
      <c r="D556" s="228"/>
      <c r="E556" s="228"/>
      <c r="F556" s="228"/>
      <c r="G556" s="228"/>
      <c r="H556" s="228"/>
      <c r="I556" s="228"/>
      <c r="J556" s="228"/>
      <c r="K556" s="228"/>
      <c r="L556" s="228"/>
      <c r="M556" s="228"/>
      <c r="N556" s="228"/>
      <c r="O556" s="228"/>
      <c r="P556" s="228"/>
      <c r="Q556" s="228"/>
      <c r="R556" s="228"/>
      <c r="S556" s="232"/>
    </row>
    <row r="557" spans="1:19" s="66" customFormat="1" ht="13.5" customHeight="1" x14ac:dyDescent="0.25">
      <c r="A557" s="84"/>
      <c r="B557" s="272" t="s">
        <v>681</v>
      </c>
      <c r="C557" s="294">
        <v>7.0000000000000007E-2</v>
      </c>
      <c r="D557" s="295" t="s">
        <v>274</v>
      </c>
      <c r="E557" s="296">
        <v>7.0000000000000007E-2</v>
      </c>
      <c r="F557" s="297" t="s">
        <v>274</v>
      </c>
      <c r="G557" s="294">
        <v>7.0000000000000007E-2</v>
      </c>
      <c r="H557" s="295" t="s">
        <v>274</v>
      </c>
      <c r="I557" s="296">
        <v>7.0000000000000007E-2</v>
      </c>
      <c r="J557" s="297" t="s">
        <v>274</v>
      </c>
      <c r="K557" s="298">
        <v>7.0000000000000007E-2</v>
      </c>
      <c r="L557" s="295" t="s">
        <v>274</v>
      </c>
      <c r="M557" s="296">
        <v>7.0000000000000007E-2</v>
      </c>
      <c r="N557" s="297" t="s">
        <v>274</v>
      </c>
      <c r="O557" s="294">
        <v>7.0000000000000007E-2</v>
      </c>
      <c r="P557" s="295" t="s">
        <v>274</v>
      </c>
      <c r="Q557" s="296">
        <v>7.0000000000000007E-2</v>
      </c>
      <c r="R557" s="297" t="s">
        <v>274</v>
      </c>
      <c r="S557" s="87"/>
    </row>
    <row r="558" spans="1:19" s="66" customFormat="1" ht="13.5" customHeight="1" x14ac:dyDescent="0.25">
      <c r="A558" s="84"/>
      <c r="B558" s="203" t="s">
        <v>682</v>
      </c>
      <c r="C558" s="299">
        <v>0</v>
      </c>
      <c r="D558" s="300" t="s">
        <v>274</v>
      </c>
      <c r="E558" s="301">
        <v>0</v>
      </c>
      <c r="F558" s="302" t="s">
        <v>274</v>
      </c>
      <c r="G558" s="299">
        <v>0</v>
      </c>
      <c r="H558" s="300" t="s">
        <v>274</v>
      </c>
      <c r="I558" s="301">
        <v>0</v>
      </c>
      <c r="J558" s="302" t="s">
        <v>274</v>
      </c>
      <c r="K558" s="303">
        <v>0</v>
      </c>
      <c r="L558" s="300" t="s">
        <v>274</v>
      </c>
      <c r="M558" s="301">
        <v>0</v>
      </c>
      <c r="N558" s="302" t="s">
        <v>274</v>
      </c>
      <c r="O558" s="299">
        <v>0</v>
      </c>
      <c r="P558" s="300" t="s">
        <v>274</v>
      </c>
      <c r="Q558" s="301">
        <v>0</v>
      </c>
      <c r="R558" s="302" t="s">
        <v>274</v>
      </c>
      <c r="S558" s="87"/>
    </row>
    <row r="559" spans="1:19" s="66" customFormat="1" ht="13.5" customHeight="1" thickBot="1" x14ac:dyDescent="0.3">
      <c r="A559" s="84"/>
      <c r="B559" s="304" t="s">
        <v>683</v>
      </c>
      <c r="C559" s="305">
        <v>0</v>
      </c>
      <c r="D559" s="306" t="s">
        <v>268</v>
      </c>
      <c r="E559" s="307">
        <v>0</v>
      </c>
      <c r="F559" s="308" t="s">
        <v>268</v>
      </c>
      <c r="G559" s="305">
        <v>0</v>
      </c>
      <c r="H559" s="306" t="s">
        <v>268</v>
      </c>
      <c r="I559" s="307">
        <v>0</v>
      </c>
      <c r="J559" s="308" t="s">
        <v>268</v>
      </c>
      <c r="K559" s="309">
        <v>0</v>
      </c>
      <c r="L559" s="306" t="s">
        <v>268</v>
      </c>
      <c r="M559" s="307">
        <v>0</v>
      </c>
      <c r="N559" s="308" t="s">
        <v>268</v>
      </c>
      <c r="O559" s="305">
        <v>0</v>
      </c>
      <c r="P559" s="306" t="s">
        <v>268</v>
      </c>
      <c r="Q559" s="307">
        <v>0</v>
      </c>
      <c r="R559" s="308" t="s">
        <v>268</v>
      </c>
      <c r="S559" s="87"/>
    </row>
    <row r="560" spans="1:19" s="66" customFormat="1" ht="13.5" hidden="1" customHeight="1" x14ac:dyDescent="0.25">
      <c r="A560" s="231"/>
      <c r="B560" s="228" t="s">
        <v>684</v>
      </c>
      <c r="C560" s="260">
        <v>0</v>
      </c>
      <c r="D560" s="261"/>
      <c r="E560" s="260">
        <v>0</v>
      </c>
      <c r="F560" s="261"/>
      <c r="G560" s="260">
        <v>0</v>
      </c>
      <c r="H560" s="261"/>
      <c r="I560" s="260">
        <v>0</v>
      </c>
      <c r="J560" s="261"/>
      <c r="K560" s="260">
        <v>0</v>
      </c>
      <c r="L560" s="261"/>
      <c r="M560" s="260">
        <v>0</v>
      </c>
      <c r="N560" s="261"/>
      <c r="O560" s="260">
        <v>0</v>
      </c>
      <c r="P560" s="261"/>
      <c r="Q560" s="260">
        <v>0</v>
      </c>
      <c r="R560" s="261"/>
      <c r="S560" s="232"/>
    </row>
    <row r="561" spans="1:19" s="66" customFormat="1" ht="13.5" hidden="1" customHeight="1" x14ac:dyDescent="0.25">
      <c r="A561" s="231"/>
      <c r="B561" s="228"/>
      <c r="C561" s="260"/>
      <c r="D561" s="261"/>
      <c r="E561" s="260"/>
      <c r="F561" s="261"/>
      <c r="G561" s="260"/>
      <c r="H561" s="261"/>
      <c r="I561" s="260"/>
      <c r="J561" s="261"/>
      <c r="K561" s="260"/>
      <c r="L561" s="261"/>
      <c r="M561" s="260"/>
      <c r="N561" s="261"/>
      <c r="O561" s="260"/>
      <c r="P561" s="261"/>
      <c r="Q561" s="260"/>
      <c r="R561" s="261"/>
      <c r="S561" s="232"/>
    </row>
    <row r="562" spans="1:19" s="66" customFormat="1" ht="13.5" hidden="1" customHeight="1" x14ac:dyDescent="0.25">
      <c r="A562" s="231"/>
      <c r="B562" s="228" t="s">
        <v>685</v>
      </c>
      <c r="C562" s="262">
        <v>240</v>
      </c>
      <c r="D562" s="263" t="s">
        <v>274</v>
      </c>
      <c r="E562" s="262">
        <v>240</v>
      </c>
      <c r="F562" s="263" t="s">
        <v>274</v>
      </c>
      <c r="G562" s="262">
        <v>240</v>
      </c>
      <c r="H562" s="263" t="s">
        <v>274</v>
      </c>
      <c r="I562" s="262">
        <v>240</v>
      </c>
      <c r="J562" s="263" t="s">
        <v>274</v>
      </c>
      <c r="K562" s="262">
        <v>240</v>
      </c>
      <c r="L562" s="263" t="s">
        <v>274</v>
      </c>
      <c r="M562" s="262">
        <v>240</v>
      </c>
      <c r="N562" s="263" t="s">
        <v>274</v>
      </c>
      <c r="O562" s="262">
        <v>240</v>
      </c>
      <c r="P562" s="263" t="s">
        <v>274</v>
      </c>
      <c r="Q562" s="262">
        <v>240</v>
      </c>
      <c r="R562" s="263" t="s">
        <v>274</v>
      </c>
      <c r="S562" s="232"/>
    </row>
    <row r="563" spans="1:19" s="66" customFormat="1" ht="13.5" hidden="1" customHeight="1" x14ac:dyDescent="0.25">
      <c r="A563" s="231"/>
      <c r="B563" s="228" t="s">
        <v>686</v>
      </c>
      <c r="C563" s="262">
        <v>240</v>
      </c>
      <c r="D563" s="263" t="s">
        <v>274</v>
      </c>
      <c r="E563" s="262">
        <v>240</v>
      </c>
      <c r="F563" s="263" t="s">
        <v>274</v>
      </c>
      <c r="G563" s="262">
        <v>240</v>
      </c>
      <c r="H563" s="263" t="s">
        <v>274</v>
      </c>
      <c r="I563" s="262">
        <v>240</v>
      </c>
      <c r="J563" s="263" t="s">
        <v>274</v>
      </c>
      <c r="K563" s="262">
        <v>240</v>
      </c>
      <c r="L563" s="263" t="s">
        <v>274</v>
      </c>
      <c r="M563" s="262">
        <v>240</v>
      </c>
      <c r="N563" s="263" t="s">
        <v>274</v>
      </c>
      <c r="O563" s="262">
        <v>240</v>
      </c>
      <c r="P563" s="263" t="s">
        <v>274</v>
      </c>
      <c r="Q563" s="262">
        <v>240</v>
      </c>
      <c r="R563" s="263" t="s">
        <v>274</v>
      </c>
      <c r="S563" s="232"/>
    </row>
    <row r="564" spans="1:19" s="66" customFormat="1" ht="13.5" hidden="1" customHeight="1" x14ac:dyDescent="0.3">
      <c r="A564" s="231"/>
      <c r="B564" s="228"/>
      <c r="C564" s="310"/>
      <c r="D564" s="311"/>
      <c r="E564" s="228"/>
      <c r="F564" s="228"/>
      <c r="G564" s="228"/>
      <c r="H564" s="228"/>
      <c r="I564" s="228"/>
      <c r="J564" s="228"/>
      <c r="K564" s="228"/>
      <c r="L564" s="228"/>
      <c r="M564" s="228"/>
      <c r="N564" s="228"/>
      <c r="O564" s="228"/>
      <c r="P564" s="228"/>
      <c r="Q564" s="228"/>
      <c r="R564" s="228"/>
      <c r="S564" s="232"/>
    </row>
    <row r="565" spans="1:19" s="66" customFormat="1" ht="13.5" hidden="1" customHeight="1" x14ac:dyDescent="0.25">
      <c r="A565" s="231"/>
      <c r="B565" s="228"/>
      <c r="C565" s="228"/>
      <c r="D565" s="228"/>
      <c r="E565" s="228"/>
      <c r="F565" s="228"/>
      <c r="G565" s="228"/>
      <c r="H565" s="228"/>
      <c r="I565" s="228"/>
      <c r="J565" s="228"/>
      <c r="K565" s="228"/>
      <c r="L565" s="228"/>
      <c r="M565" s="228"/>
      <c r="N565" s="228"/>
      <c r="O565" s="228"/>
      <c r="P565" s="228"/>
      <c r="Q565" s="228"/>
      <c r="R565" s="228"/>
      <c r="S565" s="232"/>
    </row>
    <row r="566" spans="1:19" s="66" customFormat="1" ht="13.5" hidden="1" customHeight="1" thickBot="1" x14ac:dyDescent="0.35">
      <c r="A566" s="231"/>
      <c r="B566" s="250" t="s">
        <v>687</v>
      </c>
      <c r="C566" s="228"/>
      <c r="D566" s="312"/>
      <c r="E566" s="312"/>
      <c r="F566" s="312"/>
      <c r="G566" s="312"/>
      <c r="H566" s="312"/>
      <c r="I566" s="312"/>
      <c r="J566" s="312"/>
      <c r="K566" s="312"/>
      <c r="L566" s="312"/>
      <c r="M566" s="312"/>
      <c r="N566" s="312"/>
      <c r="O566" s="312"/>
      <c r="P566" s="312"/>
      <c r="Q566" s="312"/>
      <c r="R566" s="312"/>
      <c r="S566" s="313"/>
    </row>
    <row r="567" spans="1:19" ht="13.5" customHeight="1" x14ac:dyDescent="0.3">
      <c r="A567" s="59"/>
      <c r="B567" s="314" t="s">
        <v>688</v>
      </c>
      <c r="C567" s="315">
        <v>750</v>
      </c>
      <c r="D567" s="316" t="s">
        <v>275</v>
      </c>
      <c r="E567" s="317">
        <v>750</v>
      </c>
      <c r="F567" s="318" t="s">
        <v>275</v>
      </c>
      <c r="G567" s="315">
        <v>750</v>
      </c>
      <c r="H567" s="316" t="s">
        <v>275</v>
      </c>
      <c r="I567" s="317">
        <v>750</v>
      </c>
      <c r="J567" s="318" t="s">
        <v>275</v>
      </c>
      <c r="K567" s="319">
        <v>750</v>
      </c>
      <c r="L567" s="316" t="s">
        <v>275</v>
      </c>
      <c r="M567" s="317">
        <v>750</v>
      </c>
      <c r="N567" s="318" t="s">
        <v>275</v>
      </c>
      <c r="O567" s="315">
        <v>750</v>
      </c>
      <c r="P567" s="316" t="s">
        <v>275</v>
      </c>
      <c r="Q567" s="317">
        <v>750</v>
      </c>
      <c r="R567" s="318" t="s">
        <v>275</v>
      </c>
      <c r="S567" s="61"/>
    </row>
    <row r="568" spans="1:19" x14ac:dyDescent="0.25">
      <c r="A568" s="59"/>
      <c r="B568" s="203" t="s">
        <v>689</v>
      </c>
      <c r="C568" s="320">
        <v>7.0000000000000007E-2</v>
      </c>
      <c r="D568" s="155" t="s">
        <v>275</v>
      </c>
      <c r="E568" s="321">
        <v>7.0000000000000007E-2</v>
      </c>
      <c r="F568" s="138" t="s">
        <v>275</v>
      </c>
      <c r="G568" s="320">
        <v>7.0000000000000007E-2</v>
      </c>
      <c r="H568" s="155" t="s">
        <v>275</v>
      </c>
      <c r="I568" s="321">
        <v>7.0000000000000007E-2</v>
      </c>
      <c r="J568" s="138" t="s">
        <v>275</v>
      </c>
      <c r="K568" s="322">
        <v>7.0000000000000007E-2</v>
      </c>
      <c r="L568" s="155" t="s">
        <v>275</v>
      </c>
      <c r="M568" s="321">
        <v>7.0000000000000007E-2</v>
      </c>
      <c r="N568" s="138" t="s">
        <v>275</v>
      </c>
      <c r="O568" s="320">
        <v>7.0000000000000007E-2</v>
      </c>
      <c r="P568" s="155" t="s">
        <v>275</v>
      </c>
      <c r="Q568" s="321">
        <v>7.0000000000000007E-2</v>
      </c>
      <c r="R568" s="138" t="s">
        <v>275</v>
      </c>
      <c r="S568" s="61"/>
    </row>
    <row r="569" spans="1:19" ht="13" thickBot="1" x14ac:dyDescent="0.3">
      <c r="A569" s="59"/>
      <c r="B569" s="206" t="s">
        <v>690</v>
      </c>
      <c r="C569" s="323">
        <v>0</v>
      </c>
      <c r="D569" s="225" t="s">
        <v>275</v>
      </c>
      <c r="E569" s="324">
        <v>0</v>
      </c>
      <c r="F569" s="227" t="s">
        <v>275</v>
      </c>
      <c r="G569" s="323">
        <v>0</v>
      </c>
      <c r="H569" s="225" t="s">
        <v>275</v>
      </c>
      <c r="I569" s="324">
        <v>0</v>
      </c>
      <c r="J569" s="227" t="s">
        <v>275</v>
      </c>
      <c r="K569" s="325">
        <v>0</v>
      </c>
      <c r="L569" s="225" t="s">
        <v>275</v>
      </c>
      <c r="M569" s="324">
        <v>0</v>
      </c>
      <c r="N569" s="227" t="s">
        <v>275</v>
      </c>
      <c r="O569" s="323">
        <v>0</v>
      </c>
      <c r="P569" s="225" t="s">
        <v>275</v>
      </c>
      <c r="Q569" s="324">
        <v>0</v>
      </c>
      <c r="R569" s="227" t="s">
        <v>275</v>
      </c>
      <c r="S569" s="61"/>
    </row>
    <row r="570" spans="1:19" ht="12.75" hidden="1" customHeight="1" thickBot="1" x14ac:dyDescent="0.35">
      <c r="A570" s="215"/>
      <c r="B570" s="228"/>
      <c r="C570" s="255"/>
      <c r="D570" s="255"/>
      <c r="E570" s="255"/>
      <c r="F570" s="255"/>
      <c r="G570" s="255"/>
      <c r="H570" s="255"/>
      <c r="I570" s="255"/>
      <c r="J570" s="255"/>
      <c r="K570" s="255"/>
      <c r="L570" s="255"/>
      <c r="M570" s="255"/>
      <c r="N570" s="255"/>
      <c r="O570" s="255"/>
      <c r="P570" s="255"/>
      <c r="Q570" s="255"/>
      <c r="R570" s="255"/>
      <c r="S570" s="230"/>
    </row>
    <row r="571" spans="1:19" ht="12.75" customHeight="1" x14ac:dyDescent="0.25">
      <c r="A571" s="59"/>
      <c r="B571" s="326" t="s">
        <v>691</v>
      </c>
      <c r="C571" s="763">
        <v>1000</v>
      </c>
      <c r="D571" s="764"/>
      <c r="E571" s="764"/>
      <c r="F571" s="764"/>
      <c r="G571" s="764"/>
      <c r="H571" s="764"/>
      <c r="I571" s="764"/>
      <c r="J571" s="764"/>
      <c r="K571" s="764"/>
      <c r="L571" s="764"/>
      <c r="M571" s="764"/>
      <c r="N571" s="764"/>
      <c r="O571" s="764"/>
      <c r="P571" s="764"/>
      <c r="Q571" s="764"/>
      <c r="R571" s="765"/>
      <c r="S571" s="94"/>
    </row>
    <row r="572" spans="1:19" ht="12.75" customHeight="1" thickBot="1" x14ac:dyDescent="0.3">
      <c r="A572" s="59"/>
      <c r="B572" s="244" t="s">
        <v>692</v>
      </c>
      <c r="C572" s="766">
        <v>0.28000000000000003</v>
      </c>
      <c r="D572" s="767"/>
      <c r="E572" s="767"/>
      <c r="F572" s="767"/>
      <c r="G572" s="767"/>
      <c r="H572" s="767"/>
      <c r="I572" s="767"/>
      <c r="J572" s="767"/>
      <c r="K572" s="767"/>
      <c r="L572" s="767"/>
      <c r="M572" s="767"/>
      <c r="N572" s="767"/>
      <c r="O572" s="767"/>
      <c r="P572" s="767"/>
      <c r="Q572" s="767"/>
      <c r="R572" s="768"/>
      <c r="S572" s="94"/>
    </row>
    <row r="573" spans="1:19" ht="12.75" customHeight="1" x14ac:dyDescent="0.25">
      <c r="A573" s="59"/>
      <c r="B573" s="327"/>
      <c r="C573" s="328"/>
      <c r="D573" s="328"/>
      <c r="E573" s="328"/>
      <c r="F573" s="328"/>
      <c r="G573" s="328"/>
      <c r="H573" s="328"/>
      <c r="I573" s="328"/>
      <c r="J573" s="328"/>
      <c r="K573" s="328"/>
      <c r="L573" s="328"/>
      <c r="M573" s="328"/>
      <c r="N573" s="328"/>
      <c r="O573" s="328"/>
      <c r="P573" s="328"/>
      <c r="Q573" s="328"/>
      <c r="R573" s="328"/>
      <c r="S573" s="61"/>
    </row>
    <row r="574" spans="1:19" ht="12.75" hidden="1" customHeight="1" x14ac:dyDescent="0.25">
      <c r="A574" s="215"/>
      <c r="B574" s="239"/>
      <c r="C574" s="329"/>
      <c r="D574" s="329"/>
      <c r="E574" s="329"/>
      <c r="F574" s="329"/>
      <c r="G574" s="329"/>
      <c r="H574" s="329"/>
      <c r="I574" s="329"/>
      <c r="J574" s="329"/>
      <c r="K574" s="329"/>
      <c r="L574" s="329"/>
      <c r="M574" s="329"/>
      <c r="N574" s="329"/>
      <c r="O574" s="329"/>
      <c r="P574" s="329"/>
      <c r="Q574" s="329"/>
      <c r="R574" s="329"/>
      <c r="S574" s="230"/>
    </row>
    <row r="575" spans="1:19" ht="13" hidden="1" x14ac:dyDescent="0.3">
      <c r="A575" s="215"/>
      <c r="B575" s="250" t="s">
        <v>693</v>
      </c>
      <c r="C575" s="228"/>
      <c r="D575" s="228"/>
      <c r="E575" s="228"/>
      <c r="F575" s="228"/>
      <c r="G575" s="228"/>
      <c r="H575" s="228"/>
      <c r="I575" s="228"/>
      <c r="J575" s="228"/>
      <c r="K575" s="228"/>
      <c r="L575" s="228"/>
      <c r="M575" s="228"/>
      <c r="N575" s="228"/>
      <c r="O575" s="228"/>
      <c r="P575" s="228"/>
      <c r="Q575" s="228"/>
      <c r="R575" s="228"/>
      <c r="S575" s="230"/>
    </row>
    <row r="576" spans="1:19" ht="12.75" hidden="1" customHeight="1" x14ac:dyDescent="0.25">
      <c r="A576" s="215"/>
      <c r="B576" s="81" t="s">
        <v>694</v>
      </c>
      <c r="C576" s="769" t="b">
        <v>1</v>
      </c>
      <c r="D576" s="769"/>
      <c r="E576" s="769"/>
      <c r="F576" s="769"/>
      <c r="G576" s="769"/>
      <c r="H576" s="769"/>
      <c r="I576" s="769"/>
      <c r="J576" s="769"/>
      <c r="K576" s="769"/>
      <c r="L576" s="769"/>
      <c r="M576" s="769"/>
      <c r="N576" s="769"/>
      <c r="O576" s="769"/>
      <c r="P576" s="769"/>
      <c r="Q576" s="769"/>
      <c r="R576" s="769"/>
      <c r="S576" s="230"/>
    </row>
    <row r="577" spans="1:19" ht="13" hidden="1" x14ac:dyDescent="0.3">
      <c r="A577" s="215"/>
      <c r="B577" s="250" t="s">
        <v>695</v>
      </c>
      <c r="C577" s="228" t="b">
        <v>1</v>
      </c>
      <c r="D577" s="228"/>
      <c r="E577" s="228"/>
      <c r="F577" s="228"/>
      <c r="G577" s="228"/>
      <c r="H577" s="228"/>
      <c r="I577" s="228"/>
      <c r="J577" s="228"/>
      <c r="K577" s="228"/>
      <c r="L577" s="228"/>
      <c r="M577" s="228"/>
      <c r="N577" s="228"/>
      <c r="O577" s="228"/>
      <c r="P577" s="228"/>
      <c r="Q577" s="228"/>
      <c r="R577" s="228"/>
      <c r="S577" s="230"/>
    </row>
    <row r="578" spans="1:19" hidden="1" x14ac:dyDescent="0.25">
      <c r="A578" s="215"/>
      <c r="B578" s="330" t="s">
        <v>696</v>
      </c>
      <c r="C578" s="769" t="b">
        <v>1</v>
      </c>
      <c r="D578" s="769"/>
      <c r="E578" s="769" t="b">
        <v>1</v>
      </c>
      <c r="F578" s="769"/>
      <c r="G578" s="769" t="b">
        <v>1</v>
      </c>
      <c r="H578" s="769"/>
      <c r="I578" s="769" t="b">
        <v>1</v>
      </c>
      <c r="J578" s="769"/>
      <c r="K578" s="769" t="b">
        <v>1</v>
      </c>
      <c r="L578" s="769"/>
      <c r="M578" s="769" t="b">
        <v>1</v>
      </c>
      <c r="N578" s="769"/>
      <c r="O578" s="769" t="b">
        <v>1</v>
      </c>
      <c r="P578" s="769"/>
      <c r="Q578" s="769" t="b">
        <v>1</v>
      </c>
      <c r="R578" s="769"/>
      <c r="S578" s="230"/>
    </row>
    <row r="579" spans="1:19" hidden="1" x14ac:dyDescent="0.25">
      <c r="A579" s="215"/>
      <c r="B579" s="81" t="s">
        <v>697</v>
      </c>
      <c r="C579" s="769" t="b">
        <v>1</v>
      </c>
      <c r="D579" s="769"/>
      <c r="E579" s="769"/>
      <c r="F579" s="769"/>
      <c r="G579" s="769"/>
      <c r="H579" s="769"/>
      <c r="I579" s="769"/>
      <c r="J579" s="769"/>
      <c r="K579" s="769"/>
      <c r="L579" s="769"/>
      <c r="M579" s="769"/>
      <c r="N579" s="769"/>
      <c r="O579" s="769"/>
      <c r="P579" s="769"/>
      <c r="Q579" s="769"/>
      <c r="R579" s="769"/>
      <c r="S579" s="230"/>
    </row>
    <row r="580" spans="1:19" ht="13" hidden="1" x14ac:dyDescent="0.3">
      <c r="A580" s="215"/>
      <c r="B580" s="250" t="s">
        <v>698</v>
      </c>
      <c r="C580" s="228"/>
      <c r="D580" s="228"/>
      <c r="E580" s="228"/>
      <c r="F580" s="228"/>
      <c r="G580" s="228"/>
      <c r="H580" s="228"/>
      <c r="I580" s="228"/>
      <c r="J580" s="228"/>
      <c r="K580" s="228"/>
      <c r="L580" s="228"/>
      <c r="M580" s="228"/>
      <c r="N580" s="228"/>
      <c r="O580" s="228"/>
      <c r="P580" s="228"/>
      <c r="Q580" s="228"/>
      <c r="R580" s="228"/>
      <c r="S580" s="230"/>
    </row>
    <row r="581" spans="1:19" hidden="1" x14ac:dyDescent="0.25">
      <c r="A581" s="215"/>
      <c r="B581" s="81" t="s">
        <v>698</v>
      </c>
      <c r="C581" s="769" t="s">
        <v>781</v>
      </c>
      <c r="D581" s="769"/>
      <c r="E581" s="769"/>
      <c r="F581" s="769"/>
      <c r="G581" s="769"/>
      <c r="H581" s="769"/>
      <c r="I581" s="769"/>
      <c r="J581" s="769"/>
      <c r="K581" s="769"/>
      <c r="L581" s="769"/>
      <c r="M581" s="769"/>
      <c r="N581" s="769"/>
      <c r="O581" s="769"/>
      <c r="P581" s="769"/>
      <c r="Q581" s="769"/>
      <c r="R581" s="769"/>
      <c r="S581" s="230"/>
    </row>
    <row r="582" spans="1:19" ht="13" hidden="1" x14ac:dyDescent="0.3">
      <c r="A582" s="215"/>
      <c r="B582" s="250" t="s">
        <v>699</v>
      </c>
      <c r="C582" s="228" t="s">
        <v>794</v>
      </c>
      <c r="D582" s="228"/>
      <c r="E582" s="228"/>
      <c r="F582" s="228"/>
      <c r="G582" s="228"/>
      <c r="H582" s="228"/>
      <c r="I582" s="228"/>
      <c r="J582" s="228"/>
      <c r="K582" s="228"/>
      <c r="L582" s="228"/>
      <c r="M582" s="228"/>
      <c r="N582" s="228"/>
      <c r="O582" s="228"/>
      <c r="P582" s="228"/>
      <c r="Q582" s="228"/>
      <c r="R582" s="228"/>
      <c r="S582" s="230"/>
    </row>
    <row r="583" spans="1:19" ht="15.75" hidden="1" customHeight="1" x14ac:dyDescent="0.25">
      <c r="A583" s="215"/>
      <c r="B583" s="330" t="s">
        <v>700</v>
      </c>
      <c r="C583" s="769" t="b">
        <v>1</v>
      </c>
      <c r="D583" s="769"/>
      <c r="E583" s="769" t="b">
        <v>1</v>
      </c>
      <c r="F583" s="769"/>
      <c r="G583" s="769" t="b">
        <v>1</v>
      </c>
      <c r="H583" s="769"/>
      <c r="I583" s="769" t="b">
        <v>1</v>
      </c>
      <c r="J583" s="769"/>
      <c r="K583" s="769" t="b">
        <v>1</v>
      </c>
      <c r="L583" s="769"/>
      <c r="M583" s="769" t="b">
        <v>1</v>
      </c>
      <c r="N583" s="769"/>
      <c r="O583" s="769" t="b">
        <v>1</v>
      </c>
      <c r="P583" s="769"/>
      <c r="Q583" s="769" t="b">
        <v>1</v>
      </c>
      <c r="R583" s="769"/>
      <c r="S583" s="230"/>
    </row>
    <row r="584" spans="1:19" ht="12.75" customHeight="1" x14ac:dyDescent="0.25">
      <c r="A584" s="59"/>
      <c r="C584" s="331" t="b">
        <v>1</v>
      </c>
      <c r="D584" s="331"/>
      <c r="F584" s="91"/>
      <c r="G584" s="91"/>
      <c r="H584" s="91"/>
      <c r="I584" s="91"/>
      <c r="J584" s="91"/>
      <c r="K584" s="91"/>
      <c r="L584" s="91"/>
      <c r="M584" s="91"/>
      <c r="N584" s="91"/>
      <c r="R584" s="332"/>
      <c r="S584" s="61"/>
    </row>
    <row r="585" spans="1:19" ht="12.75" customHeight="1" x14ac:dyDescent="0.25">
      <c r="A585" s="59"/>
      <c r="C585" s="331"/>
      <c r="D585" s="331"/>
      <c r="F585" s="91"/>
      <c r="G585" s="91"/>
      <c r="H585" s="91"/>
      <c r="I585" s="91"/>
      <c r="J585" s="91"/>
      <c r="K585" s="91"/>
      <c r="L585" s="91"/>
      <c r="M585" s="91"/>
      <c r="N585" s="91"/>
      <c r="R585" s="332"/>
      <c r="S585" s="61"/>
    </row>
    <row r="586" spans="1:19" ht="12.75" customHeight="1" x14ac:dyDescent="0.25">
      <c r="A586" s="59"/>
      <c r="C586" s="331"/>
      <c r="D586" s="331"/>
      <c r="F586" s="91"/>
      <c r="G586" s="91"/>
      <c r="H586" s="91"/>
      <c r="I586" s="91"/>
      <c r="J586" s="91"/>
      <c r="K586" s="91"/>
      <c r="L586" s="91"/>
      <c r="M586" s="91"/>
      <c r="N586" s="91"/>
      <c r="R586" s="332"/>
      <c r="S586" s="61"/>
    </row>
    <row r="587" spans="1:19" ht="12.75" customHeight="1" x14ac:dyDescent="0.25">
      <c r="A587" s="59"/>
      <c r="C587" s="331"/>
      <c r="D587" s="331"/>
      <c r="F587" s="91"/>
      <c r="G587" s="91"/>
      <c r="H587" s="91"/>
      <c r="I587" s="91"/>
      <c r="J587" s="91"/>
      <c r="K587" s="91"/>
      <c r="L587" s="91"/>
      <c r="M587" s="91"/>
      <c r="N587" s="91"/>
      <c r="R587" s="332"/>
      <c r="S587" s="61"/>
    </row>
    <row r="588" spans="1:19" ht="12.75" customHeight="1" x14ac:dyDescent="0.25">
      <c r="A588" s="59"/>
      <c r="C588" s="331"/>
      <c r="D588" s="331"/>
      <c r="F588" s="91"/>
      <c r="G588" s="91"/>
      <c r="H588" s="91"/>
      <c r="I588" s="91"/>
      <c r="J588" s="91"/>
      <c r="K588" s="91"/>
      <c r="L588" s="91"/>
      <c r="M588" s="91"/>
      <c r="N588" s="91"/>
      <c r="R588" s="332"/>
      <c r="S588" s="61"/>
    </row>
    <row r="589" spans="1:19" ht="13" thickBot="1" x14ac:dyDescent="0.3">
      <c r="A589" s="233"/>
      <c r="B589" s="234"/>
      <c r="C589" s="234"/>
      <c r="D589" s="234"/>
      <c r="E589" s="234"/>
      <c r="F589" s="234"/>
      <c r="G589" s="234"/>
      <c r="H589" s="234"/>
      <c r="I589" s="234"/>
      <c r="J589" s="234"/>
      <c r="K589" s="234"/>
      <c r="L589" s="234"/>
      <c r="M589" s="234"/>
      <c r="N589" s="234"/>
      <c r="O589" s="234"/>
      <c r="P589" s="234"/>
      <c r="Q589" s="234"/>
      <c r="R589" s="234"/>
      <c r="S589" s="185"/>
    </row>
  </sheetData>
  <dataConsolidate/>
  <mergeCells count="278">
    <mergeCell ref="A46:S46"/>
    <mergeCell ref="C80:R80"/>
    <mergeCell ref="U80:W80"/>
    <mergeCell ref="X80:Z80"/>
    <mergeCell ref="C81:F81"/>
    <mergeCell ref="G81:J81"/>
    <mergeCell ref="K81:N81"/>
    <mergeCell ref="O81:R81"/>
    <mergeCell ref="U81:U82"/>
    <mergeCell ref="V81:W81"/>
    <mergeCell ref="B332:N332"/>
    <mergeCell ref="C342:D342"/>
    <mergeCell ref="E342:F342"/>
    <mergeCell ref="G342:H342"/>
    <mergeCell ref="I342:J342"/>
    <mergeCell ref="K342:L342"/>
    <mergeCell ref="M342:N342"/>
    <mergeCell ref="X81:X82"/>
    <mergeCell ref="Y81:Z81"/>
    <mergeCell ref="C82:D82"/>
    <mergeCell ref="E82:F82"/>
    <mergeCell ref="G82:H82"/>
    <mergeCell ref="I82:J82"/>
    <mergeCell ref="K82:L82"/>
    <mergeCell ref="M82:N82"/>
    <mergeCell ref="O82:P82"/>
    <mergeCell ref="Q82:R82"/>
    <mergeCell ref="O342:P342"/>
    <mergeCell ref="Q342:R342"/>
    <mergeCell ref="B351:N351"/>
    <mergeCell ref="C361:D361"/>
    <mergeCell ref="E361:F361"/>
    <mergeCell ref="G361:H361"/>
    <mergeCell ref="I361:J361"/>
    <mergeCell ref="K361:L361"/>
    <mergeCell ref="M361:N361"/>
    <mergeCell ref="O361:P361"/>
    <mergeCell ref="Q361:R361"/>
    <mergeCell ref="C382:D382"/>
    <mergeCell ref="E382:F382"/>
    <mergeCell ref="G382:H382"/>
    <mergeCell ref="I382:J382"/>
    <mergeCell ref="K382:L382"/>
    <mergeCell ref="M382:N382"/>
    <mergeCell ref="O382:P382"/>
    <mergeCell ref="Q382:R382"/>
    <mergeCell ref="O384:P384"/>
    <mergeCell ref="Q384:R384"/>
    <mergeCell ref="C385:D385"/>
    <mergeCell ref="E385:F385"/>
    <mergeCell ref="G385:H385"/>
    <mergeCell ref="I385:J385"/>
    <mergeCell ref="K385:L385"/>
    <mergeCell ref="M385:N385"/>
    <mergeCell ref="O385:P385"/>
    <mergeCell ref="Q385:R385"/>
    <mergeCell ref="C384:D384"/>
    <mergeCell ref="E384:F384"/>
    <mergeCell ref="G384:H384"/>
    <mergeCell ref="I384:J384"/>
    <mergeCell ref="K384:L384"/>
    <mergeCell ref="M384:N384"/>
    <mergeCell ref="O386:P386"/>
    <mergeCell ref="Q386:R386"/>
    <mergeCell ref="C390:D390"/>
    <mergeCell ref="E390:F390"/>
    <mergeCell ref="G390:H390"/>
    <mergeCell ref="I390:J390"/>
    <mergeCell ref="K390:L390"/>
    <mergeCell ref="M390:N390"/>
    <mergeCell ref="O390:P390"/>
    <mergeCell ref="Q390:R390"/>
    <mergeCell ref="C386:D386"/>
    <mergeCell ref="E386:F386"/>
    <mergeCell ref="G386:H386"/>
    <mergeCell ref="I386:J386"/>
    <mergeCell ref="K386:L386"/>
    <mergeCell ref="M386:N386"/>
    <mergeCell ref="O392:P392"/>
    <mergeCell ref="Q392:R392"/>
    <mergeCell ref="C394:D394"/>
    <mergeCell ref="E394:F394"/>
    <mergeCell ref="G394:H394"/>
    <mergeCell ref="I394:J394"/>
    <mergeCell ref="K394:L394"/>
    <mergeCell ref="M394:N394"/>
    <mergeCell ref="O394:P394"/>
    <mergeCell ref="Q394:R394"/>
    <mergeCell ref="C392:D392"/>
    <mergeCell ref="E392:F392"/>
    <mergeCell ref="G392:H392"/>
    <mergeCell ref="I392:J392"/>
    <mergeCell ref="K392:L392"/>
    <mergeCell ref="M392:N392"/>
    <mergeCell ref="O396:P396"/>
    <mergeCell ref="Q396:R396"/>
    <mergeCell ref="C398:D398"/>
    <mergeCell ref="E398:F398"/>
    <mergeCell ref="G398:H398"/>
    <mergeCell ref="I398:J398"/>
    <mergeCell ref="K398:L398"/>
    <mergeCell ref="M398:N398"/>
    <mergeCell ref="O398:P398"/>
    <mergeCell ref="Q398:R398"/>
    <mergeCell ref="C396:D396"/>
    <mergeCell ref="E396:F396"/>
    <mergeCell ref="G396:H396"/>
    <mergeCell ref="I396:J396"/>
    <mergeCell ref="K396:L396"/>
    <mergeCell ref="M396:N396"/>
    <mergeCell ref="O401:P401"/>
    <mergeCell ref="Q401:R401"/>
    <mergeCell ref="A404:S404"/>
    <mergeCell ref="C406:R406"/>
    <mergeCell ref="C407:D407"/>
    <mergeCell ref="E407:F407"/>
    <mergeCell ref="G407:H407"/>
    <mergeCell ref="I407:J407"/>
    <mergeCell ref="K407:L407"/>
    <mergeCell ref="M407:N407"/>
    <mergeCell ref="C401:D401"/>
    <mergeCell ref="E401:F401"/>
    <mergeCell ref="G401:H401"/>
    <mergeCell ref="I401:J401"/>
    <mergeCell ref="K401:L401"/>
    <mergeCell ref="M401:N401"/>
    <mergeCell ref="O407:P407"/>
    <mergeCell ref="Q407:R407"/>
    <mergeCell ref="C414:D414"/>
    <mergeCell ref="E414:F414"/>
    <mergeCell ref="G414:H414"/>
    <mergeCell ref="I414:J414"/>
    <mergeCell ref="K414:L414"/>
    <mergeCell ref="M414:N414"/>
    <mergeCell ref="O414:P414"/>
    <mergeCell ref="Q414:R414"/>
    <mergeCell ref="O415:P415"/>
    <mergeCell ref="Q415:R415"/>
    <mergeCell ref="C416:D416"/>
    <mergeCell ref="E416:F416"/>
    <mergeCell ref="G416:H416"/>
    <mergeCell ref="I416:J416"/>
    <mergeCell ref="K416:L416"/>
    <mergeCell ref="M416:N416"/>
    <mergeCell ref="O416:P416"/>
    <mergeCell ref="Q416:R416"/>
    <mergeCell ref="C415:D415"/>
    <mergeCell ref="E415:F415"/>
    <mergeCell ref="G415:H415"/>
    <mergeCell ref="I415:J415"/>
    <mergeCell ref="K415:L415"/>
    <mergeCell ref="M415:N415"/>
    <mergeCell ref="O417:P417"/>
    <mergeCell ref="Q417:R417"/>
    <mergeCell ref="C435:R435"/>
    <mergeCell ref="C436:F436"/>
    <mergeCell ref="G436:J436"/>
    <mergeCell ref="K436:N436"/>
    <mergeCell ref="O436:R436"/>
    <mergeCell ref="C417:D417"/>
    <mergeCell ref="E417:F417"/>
    <mergeCell ref="G417:H417"/>
    <mergeCell ref="I417:J417"/>
    <mergeCell ref="K417:L417"/>
    <mergeCell ref="M417:N417"/>
    <mergeCell ref="O437:P437"/>
    <mergeCell ref="Q437:R437"/>
    <mergeCell ref="C448:D448"/>
    <mergeCell ref="E448:F448"/>
    <mergeCell ref="G448:H448"/>
    <mergeCell ref="I448:J448"/>
    <mergeCell ref="K448:L448"/>
    <mergeCell ref="M448:N448"/>
    <mergeCell ref="O448:P448"/>
    <mergeCell ref="Q448:R448"/>
    <mergeCell ref="C437:D437"/>
    <mergeCell ref="E437:F437"/>
    <mergeCell ref="G437:H437"/>
    <mergeCell ref="I437:J437"/>
    <mergeCell ref="K437:L437"/>
    <mergeCell ref="M437:N437"/>
    <mergeCell ref="O466:P466"/>
    <mergeCell ref="Q466:R466"/>
    <mergeCell ref="A474:S474"/>
    <mergeCell ref="C476:R476"/>
    <mergeCell ref="C477:D477"/>
    <mergeCell ref="E477:F477"/>
    <mergeCell ref="G477:H477"/>
    <mergeCell ref="I477:J477"/>
    <mergeCell ref="K477:L477"/>
    <mergeCell ref="M477:N477"/>
    <mergeCell ref="C466:D466"/>
    <mergeCell ref="E466:F466"/>
    <mergeCell ref="G466:H466"/>
    <mergeCell ref="I466:J466"/>
    <mergeCell ref="K466:L466"/>
    <mergeCell ref="M466:N466"/>
    <mergeCell ref="O477:P477"/>
    <mergeCell ref="Q477:R477"/>
    <mergeCell ref="C479:D479"/>
    <mergeCell ref="E479:F479"/>
    <mergeCell ref="G479:H479"/>
    <mergeCell ref="I479:J479"/>
    <mergeCell ref="K479:L479"/>
    <mergeCell ref="M479:N479"/>
    <mergeCell ref="O479:P479"/>
    <mergeCell ref="Q479:R479"/>
    <mergeCell ref="C480:R480"/>
    <mergeCell ref="C490:D490"/>
    <mergeCell ref="E490:F490"/>
    <mergeCell ref="G490:H490"/>
    <mergeCell ref="I490:J490"/>
    <mergeCell ref="K490:L490"/>
    <mergeCell ref="M490:N490"/>
    <mergeCell ref="O490:P490"/>
    <mergeCell ref="Q490:R490"/>
    <mergeCell ref="O524:P524"/>
    <mergeCell ref="Q524:R524"/>
    <mergeCell ref="C536:R536"/>
    <mergeCell ref="C537:R537"/>
    <mergeCell ref="C538:R538"/>
    <mergeCell ref="C541:R541"/>
    <mergeCell ref="O491:P491"/>
    <mergeCell ref="Q491:R491"/>
    <mergeCell ref="C492:R492"/>
    <mergeCell ref="C523:R523"/>
    <mergeCell ref="C524:D524"/>
    <mergeCell ref="E524:F524"/>
    <mergeCell ref="G524:H524"/>
    <mergeCell ref="I524:J524"/>
    <mergeCell ref="K524:L524"/>
    <mergeCell ref="M524:N524"/>
    <mergeCell ref="C491:D491"/>
    <mergeCell ref="E491:F491"/>
    <mergeCell ref="G491:H491"/>
    <mergeCell ref="I491:J491"/>
    <mergeCell ref="K491:L491"/>
    <mergeCell ref="M491:N491"/>
    <mergeCell ref="M555:N555"/>
    <mergeCell ref="O555:P555"/>
    <mergeCell ref="Q555:R555"/>
    <mergeCell ref="C571:R571"/>
    <mergeCell ref="C572:R572"/>
    <mergeCell ref="C576:R576"/>
    <mergeCell ref="O542:P542"/>
    <mergeCell ref="Q542:R542"/>
    <mergeCell ref="C547:R547"/>
    <mergeCell ref="C548:R548"/>
    <mergeCell ref="C554:R554"/>
    <mergeCell ref="C555:D555"/>
    <mergeCell ref="E555:F555"/>
    <mergeCell ref="G555:H555"/>
    <mergeCell ref="I555:J555"/>
    <mergeCell ref="K555:L555"/>
    <mergeCell ref="C542:D542"/>
    <mergeCell ref="E542:F542"/>
    <mergeCell ref="G542:H542"/>
    <mergeCell ref="I542:J542"/>
    <mergeCell ref="K542:L542"/>
    <mergeCell ref="M542:N542"/>
    <mergeCell ref="O583:P583"/>
    <mergeCell ref="Q583:R583"/>
    <mergeCell ref="O578:P578"/>
    <mergeCell ref="Q578:R578"/>
    <mergeCell ref="C579:R579"/>
    <mergeCell ref="C581:R581"/>
    <mergeCell ref="C583:D583"/>
    <mergeCell ref="E583:F583"/>
    <mergeCell ref="G583:H583"/>
    <mergeCell ref="I583:J583"/>
    <mergeCell ref="K583:L583"/>
    <mergeCell ref="M583:N583"/>
    <mergeCell ref="C578:D578"/>
    <mergeCell ref="E578:F578"/>
    <mergeCell ref="G578:H578"/>
    <mergeCell ref="I578:J578"/>
    <mergeCell ref="K578:L578"/>
    <mergeCell ref="M578:N578"/>
  </mergeCells>
  <phoneticPr fontId="31" type="noConversion"/>
  <printOptions verticalCentered="1"/>
  <pageMargins left="0.78740157480314965" right="0.78740157480314965" top="0.78740157480314965" bottom="0.78740157480314965" header="0.39370078740157483" footer="0.39370078740157483"/>
  <pageSetup paperSize="8" scale="22" orientation="portrait" r:id="rId1"/>
  <headerFooter alignWithMargins="0">
    <oddHeader>&amp;L&amp;G&amp;RFX7210 Cerberus Quantities Tool</oddHeader>
    <oddFooter>&amp;LBuilding Technologies
Fire Safety + Security Products&amp;R&amp;F
&amp;D</oddFooter>
  </headerFooter>
  <drawing r:id="rId2"/>
  <legacyDrawing r:id="rId3"/>
  <legacyDrawingHF r:id="rId4"/>
  <controls>
    <mc:AlternateContent xmlns:mc="http://schemas.openxmlformats.org/markup-compatibility/2006">
      <mc:Choice Requires="x14">
        <control shapeId="2415617" r:id="rId5" name="ChangeLoopExtensionState">
          <controlPr defaultSize="0" autoLine="0" r:id="rId6">
            <anchor moveWithCells="1" sizeWithCells="1">
              <from>
                <xdr:col>1</xdr:col>
                <xdr:colOff>1885950</xdr:colOff>
                <xdr:row>72</xdr:row>
                <xdr:rowOff>50800</xdr:rowOff>
              </from>
              <to>
                <xdr:col>1</xdr:col>
                <xdr:colOff>4324350</xdr:colOff>
                <xdr:row>72</xdr:row>
                <xdr:rowOff>336550</xdr:rowOff>
              </to>
            </anchor>
          </controlPr>
        </control>
      </mc:Choice>
      <mc:Fallback>
        <control shapeId="2415617" r:id="rId5" name="ChangeLoopExtensionState"/>
      </mc:Fallback>
    </mc:AlternateContent>
    <mc:AlternateContent xmlns:mc="http://schemas.openxmlformats.org/markup-compatibility/2006">
      <mc:Choice Requires="x14">
        <control shapeId="2415618" r:id="rId7" name="Loop2">
          <controlPr defaultSize="0" autoLine="0" r:id="rId8">
            <anchor moveWithCells="1" sizeWithCells="1">
              <from>
                <xdr:col>6</xdr:col>
                <xdr:colOff>19050</xdr:colOff>
                <xdr:row>80</xdr:row>
                <xdr:rowOff>50800</xdr:rowOff>
              </from>
              <to>
                <xdr:col>7</xdr:col>
                <xdr:colOff>419100</xdr:colOff>
                <xdr:row>80</xdr:row>
                <xdr:rowOff>336550</xdr:rowOff>
              </to>
            </anchor>
          </controlPr>
        </control>
      </mc:Choice>
      <mc:Fallback>
        <control shapeId="2415618" r:id="rId7" name="Loop2"/>
      </mc:Fallback>
    </mc:AlternateContent>
    <mc:AlternateContent xmlns:mc="http://schemas.openxmlformats.org/markup-compatibility/2006">
      <mc:Choice Requires="x14">
        <control shapeId="2415619" r:id="rId9" name="Loop3">
          <controlPr defaultSize="0" autoLine="0" r:id="rId10">
            <anchor moveWithCells="1" sizeWithCells="1">
              <from>
                <xdr:col>10</xdr:col>
                <xdr:colOff>38100</xdr:colOff>
                <xdr:row>80</xdr:row>
                <xdr:rowOff>57150</xdr:rowOff>
              </from>
              <to>
                <xdr:col>11</xdr:col>
                <xdr:colOff>438150</xdr:colOff>
                <xdr:row>80</xdr:row>
                <xdr:rowOff>342900</xdr:rowOff>
              </to>
            </anchor>
          </controlPr>
        </control>
      </mc:Choice>
      <mc:Fallback>
        <control shapeId="2415619" r:id="rId9" name="Loop3"/>
      </mc:Fallback>
    </mc:AlternateContent>
    <mc:AlternateContent xmlns:mc="http://schemas.openxmlformats.org/markup-compatibility/2006">
      <mc:Choice Requires="x14">
        <control shapeId="2415620" r:id="rId11" name="Loop4">
          <controlPr defaultSize="0" autoLine="0" r:id="rId12">
            <anchor moveWithCells="1" sizeWithCells="1">
              <from>
                <xdr:col>14</xdr:col>
                <xdr:colOff>31750</xdr:colOff>
                <xdr:row>80</xdr:row>
                <xdr:rowOff>57150</xdr:rowOff>
              </from>
              <to>
                <xdr:col>15</xdr:col>
                <xdr:colOff>431800</xdr:colOff>
                <xdr:row>80</xdr:row>
                <xdr:rowOff>342900</xdr:rowOff>
              </to>
            </anchor>
          </controlPr>
        </control>
      </mc:Choice>
      <mc:Fallback>
        <control shapeId="2415620" r:id="rId11" name="Loop4"/>
      </mc:Fallback>
    </mc:AlternateContent>
    <mc:AlternateContent xmlns:mc="http://schemas.openxmlformats.org/markup-compatibility/2006">
      <mc:Choice Requires="x14">
        <control shapeId="2415621" r:id="rId13" name="CurrentSelection">
          <controlPr defaultSize="0" autoLine="0" r:id="rId14">
            <anchor moveWithCells="1" sizeWithCells="1">
              <from>
                <xdr:col>1</xdr:col>
                <xdr:colOff>1885950</xdr:colOff>
                <xdr:row>67</xdr:row>
                <xdr:rowOff>50800</xdr:rowOff>
              </from>
              <to>
                <xdr:col>1</xdr:col>
                <xdr:colOff>4324350</xdr:colOff>
                <xdr:row>67</xdr:row>
                <xdr:rowOff>336550</xdr:rowOff>
              </to>
            </anchor>
          </controlPr>
        </control>
      </mc:Choice>
      <mc:Fallback>
        <control shapeId="2415621" r:id="rId13" name="CurrentSelection"/>
      </mc:Fallback>
    </mc:AlternateContent>
    <mc:AlternateContent xmlns:mc="http://schemas.openxmlformats.org/markup-compatibility/2006">
      <mc:Choice Requires="x14">
        <control shapeId="2415622" r:id="rId15" name="Loop2_Calculation">
          <controlPr defaultSize="0" autoLine="0" r:id="rId16">
            <anchor moveWithCells="1" sizeWithCells="1">
              <from>
                <xdr:col>6</xdr:col>
                <xdr:colOff>31750</xdr:colOff>
                <xdr:row>435</xdr:row>
                <xdr:rowOff>50800</xdr:rowOff>
              </from>
              <to>
                <xdr:col>7</xdr:col>
                <xdr:colOff>431800</xdr:colOff>
                <xdr:row>435</xdr:row>
                <xdr:rowOff>336550</xdr:rowOff>
              </to>
            </anchor>
          </controlPr>
        </control>
      </mc:Choice>
      <mc:Fallback>
        <control shapeId="2415622" r:id="rId15" name="Loop2_Calculation"/>
      </mc:Fallback>
    </mc:AlternateContent>
    <mc:AlternateContent xmlns:mc="http://schemas.openxmlformats.org/markup-compatibility/2006">
      <mc:Choice Requires="x14">
        <control shapeId="2415623" r:id="rId17" name="Loop3_Calculation">
          <controlPr defaultSize="0" autoLine="0" r:id="rId18">
            <anchor moveWithCells="1" sizeWithCells="1">
              <from>
                <xdr:col>10</xdr:col>
                <xdr:colOff>38100</xdr:colOff>
                <xdr:row>435</xdr:row>
                <xdr:rowOff>50800</xdr:rowOff>
              </from>
              <to>
                <xdr:col>11</xdr:col>
                <xdr:colOff>438150</xdr:colOff>
                <xdr:row>435</xdr:row>
                <xdr:rowOff>336550</xdr:rowOff>
              </to>
            </anchor>
          </controlPr>
        </control>
      </mc:Choice>
      <mc:Fallback>
        <control shapeId="2415623" r:id="rId17" name="Loop3_Calculation"/>
      </mc:Fallback>
    </mc:AlternateContent>
    <mc:AlternateContent xmlns:mc="http://schemas.openxmlformats.org/markup-compatibility/2006">
      <mc:Choice Requires="x14">
        <control shapeId="2415624" r:id="rId19" name="Loop4_Calculation">
          <controlPr defaultSize="0" autoLine="0" r:id="rId20">
            <anchor moveWithCells="1" sizeWithCells="1">
              <from>
                <xdr:col>14</xdr:col>
                <xdr:colOff>31750</xdr:colOff>
                <xdr:row>435</xdr:row>
                <xdr:rowOff>50800</xdr:rowOff>
              </from>
              <to>
                <xdr:col>15</xdr:col>
                <xdr:colOff>431800</xdr:colOff>
                <xdr:row>435</xdr:row>
                <xdr:rowOff>336550</xdr:rowOff>
              </to>
            </anchor>
          </controlPr>
        </control>
      </mc:Choice>
      <mc:Fallback>
        <control shapeId="2415624" r:id="rId19" name="Loop4_Calculation"/>
      </mc:Fallback>
    </mc:AlternateContent>
    <mc:AlternateContent xmlns:mc="http://schemas.openxmlformats.org/markup-compatibility/2006">
      <mc:Choice Requires="x14">
        <control shapeId="2415625" r:id="rId21" name="CheckBox_1_1_Ex1">
          <controlPr defaultSize="0" autoLine="0" altText="" linkedCell="C342" r:id="rId22">
            <anchor moveWithCells="1" sizeWithCells="1">
              <from>
                <xdr:col>2</xdr:col>
                <xdr:colOff>19050</xdr:colOff>
                <xdr:row>332</xdr:row>
                <xdr:rowOff>19050</xdr:rowOff>
              </from>
              <to>
                <xdr:col>3</xdr:col>
                <xdr:colOff>450850</xdr:colOff>
                <xdr:row>333</xdr:row>
                <xdr:rowOff>0</xdr:rowOff>
              </to>
            </anchor>
          </controlPr>
        </control>
      </mc:Choice>
      <mc:Fallback>
        <control shapeId="2415625" r:id="rId21" name="CheckBox_1_1_Ex1"/>
      </mc:Fallback>
    </mc:AlternateContent>
    <mc:AlternateContent xmlns:mc="http://schemas.openxmlformats.org/markup-compatibility/2006">
      <mc:Choice Requires="x14">
        <control shapeId="2415626" r:id="rId23" name="CheckBox_4_2_Ex">
          <controlPr defaultSize="0" autoLine="0" altText="" linkedCell="Q342" r:id="rId24">
            <anchor moveWithCells="1" sizeWithCells="1">
              <from>
                <xdr:col>16</xdr:col>
                <xdr:colOff>19050</xdr:colOff>
                <xdr:row>332</xdr:row>
                <xdr:rowOff>19050</xdr:rowOff>
              </from>
              <to>
                <xdr:col>17</xdr:col>
                <xdr:colOff>450850</xdr:colOff>
                <xdr:row>333</xdr:row>
                <xdr:rowOff>0</xdr:rowOff>
              </to>
            </anchor>
          </controlPr>
        </control>
      </mc:Choice>
      <mc:Fallback>
        <control shapeId="2415626" r:id="rId23" name="CheckBox_4_2_Ex"/>
      </mc:Fallback>
    </mc:AlternateContent>
    <mc:AlternateContent xmlns:mc="http://schemas.openxmlformats.org/markup-compatibility/2006">
      <mc:Choice Requires="x14">
        <control shapeId="2415627" r:id="rId25" name="CheckBox_1_2_Ex">
          <controlPr defaultSize="0" autoLine="0" altText="" linkedCell="E342" r:id="rId26">
            <anchor moveWithCells="1" sizeWithCells="1">
              <from>
                <xdr:col>4</xdr:col>
                <xdr:colOff>19050</xdr:colOff>
                <xdr:row>332</xdr:row>
                <xdr:rowOff>19050</xdr:rowOff>
              </from>
              <to>
                <xdr:col>5</xdr:col>
                <xdr:colOff>450850</xdr:colOff>
                <xdr:row>333</xdr:row>
                <xdr:rowOff>0</xdr:rowOff>
              </to>
            </anchor>
          </controlPr>
        </control>
      </mc:Choice>
      <mc:Fallback>
        <control shapeId="2415627" r:id="rId25" name="CheckBox_1_2_Ex"/>
      </mc:Fallback>
    </mc:AlternateContent>
    <mc:AlternateContent xmlns:mc="http://schemas.openxmlformats.org/markup-compatibility/2006">
      <mc:Choice Requires="x14">
        <control shapeId="2415628" r:id="rId27" name="CheckBox_2_1_Ex1">
          <controlPr defaultSize="0" autoLine="0" altText="" linkedCell="G342" r:id="rId28">
            <anchor moveWithCells="1" sizeWithCells="1">
              <from>
                <xdr:col>6</xdr:col>
                <xdr:colOff>19050</xdr:colOff>
                <xdr:row>332</xdr:row>
                <xdr:rowOff>19050</xdr:rowOff>
              </from>
              <to>
                <xdr:col>7</xdr:col>
                <xdr:colOff>450850</xdr:colOff>
                <xdr:row>333</xdr:row>
                <xdr:rowOff>0</xdr:rowOff>
              </to>
            </anchor>
          </controlPr>
        </control>
      </mc:Choice>
      <mc:Fallback>
        <control shapeId="2415628" r:id="rId27" name="CheckBox_2_1_Ex1"/>
      </mc:Fallback>
    </mc:AlternateContent>
    <mc:AlternateContent xmlns:mc="http://schemas.openxmlformats.org/markup-compatibility/2006">
      <mc:Choice Requires="x14">
        <control shapeId="2415629" r:id="rId29" name="CheckBox_2_2_Ex">
          <controlPr defaultSize="0" autoLine="0" altText="" linkedCell="I342" r:id="rId30">
            <anchor moveWithCells="1" sizeWithCells="1">
              <from>
                <xdr:col>8</xdr:col>
                <xdr:colOff>19050</xdr:colOff>
                <xdr:row>332</xdr:row>
                <xdr:rowOff>19050</xdr:rowOff>
              </from>
              <to>
                <xdr:col>9</xdr:col>
                <xdr:colOff>450850</xdr:colOff>
                <xdr:row>333</xdr:row>
                <xdr:rowOff>0</xdr:rowOff>
              </to>
            </anchor>
          </controlPr>
        </control>
      </mc:Choice>
      <mc:Fallback>
        <control shapeId="2415629" r:id="rId29" name="CheckBox_2_2_Ex"/>
      </mc:Fallback>
    </mc:AlternateContent>
    <mc:AlternateContent xmlns:mc="http://schemas.openxmlformats.org/markup-compatibility/2006">
      <mc:Choice Requires="x14">
        <control shapeId="2415630" r:id="rId31" name="CheckBox_3_1_Ex1">
          <controlPr defaultSize="0" autoLine="0" altText="" linkedCell="K342" r:id="rId32">
            <anchor moveWithCells="1" sizeWithCells="1">
              <from>
                <xdr:col>10</xdr:col>
                <xdr:colOff>19050</xdr:colOff>
                <xdr:row>332</xdr:row>
                <xdr:rowOff>19050</xdr:rowOff>
              </from>
              <to>
                <xdr:col>11</xdr:col>
                <xdr:colOff>450850</xdr:colOff>
                <xdr:row>333</xdr:row>
                <xdr:rowOff>0</xdr:rowOff>
              </to>
            </anchor>
          </controlPr>
        </control>
      </mc:Choice>
      <mc:Fallback>
        <control shapeId="2415630" r:id="rId31" name="CheckBox_3_1_Ex1"/>
      </mc:Fallback>
    </mc:AlternateContent>
    <mc:AlternateContent xmlns:mc="http://schemas.openxmlformats.org/markup-compatibility/2006">
      <mc:Choice Requires="x14">
        <control shapeId="2415631" r:id="rId33" name="CheckBox_3_2_Ex">
          <controlPr defaultSize="0" autoLine="0" altText="" linkedCell="M342" r:id="rId34">
            <anchor moveWithCells="1" sizeWithCells="1">
              <from>
                <xdr:col>12</xdr:col>
                <xdr:colOff>19050</xdr:colOff>
                <xdr:row>332</xdr:row>
                <xdr:rowOff>19050</xdr:rowOff>
              </from>
              <to>
                <xdr:col>13</xdr:col>
                <xdr:colOff>438150</xdr:colOff>
                <xdr:row>333</xdr:row>
                <xdr:rowOff>0</xdr:rowOff>
              </to>
            </anchor>
          </controlPr>
        </control>
      </mc:Choice>
      <mc:Fallback>
        <control shapeId="2415631" r:id="rId33" name="CheckBox_3_2_Ex"/>
      </mc:Fallback>
    </mc:AlternateContent>
    <mc:AlternateContent xmlns:mc="http://schemas.openxmlformats.org/markup-compatibility/2006">
      <mc:Choice Requires="x14">
        <control shapeId="2415632" r:id="rId35" name="CheckBox_4_1_Ex1">
          <controlPr defaultSize="0" autoLine="0" altText="" linkedCell="O342" r:id="rId36">
            <anchor moveWithCells="1" sizeWithCells="1">
              <from>
                <xdr:col>14</xdr:col>
                <xdr:colOff>19050</xdr:colOff>
                <xdr:row>332</xdr:row>
                <xdr:rowOff>19050</xdr:rowOff>
              </from>
              <to>
                <xdr:col>15</xdr:col>
                <xdr:colOff>450850</xdr:colOff>
                <xdr:row>333</xdr:row>
                <xdr:rowOff>0</xdr:rowOff>
              </to>
            </anchor>
          </controlPr>
        </control>
      </mc:Choice>
      <mc:Fallback>
        <control shapeId="2415632" r:id="rId35" name="CheckBox_4_1_Ex1"/>
      </mc:Fallback>
    </mc:AlternateContent>
    <mc:AlternateContent xmlns:mc="http://schemas.openxmlformats.org/markup-compatibility/2006">
      <mc:Choice Requires="x14">
        <control shapeId="2415633" r:id="rId37" name="CheckBox_1_1_Ex2">
          <controlPr defaultSize="0" disabled="1" autoLine="0" altText="" linkedCell="C361" r:id="rId38">
            <anchor moveWithCells="1" sizeWithCells="1">
              <from>
                <xdr:col>2</xdr:col>
                <xdr:colOff>19050</xdr:colOff>
                <xdr:row>351</xdr:row>
                <xdr:rowOff>19050</xdr:rowOff>
              </from>
              <to>
                <xdr:col>3</xdr:col>
                <xdr:colOff>450850</xdr:colOff>
                <xdr:row>352</xdr:row>
                <xdr:rowOff>0</xdr:rowOff>
              </to>
            </anchor>
          </controlPr>
        </control>
      </mc:Choice>
      <mc:Fallback>
        <control shapeId="2415633" r:id="rId37" name="CheckBox_1_1_Ex2"/>
      </mc:Fallback>
    </mc:AlternateContent>
    <mc:AlternateContent xmlns:mc="http://schemas.openxmlformats.org/markup-compatibility/2006">
      <mc:Choice Requires="x14">
        <control shapeId="2415634" r:id="rId39" name="CheckBox_2_1_Ex2">
          <controlPr defaultSize="0" disabled="1" autoLine="0" altText="" linkedCell="G361" r:id="rId40">
            <anchor moveWithCells="1" sizeWithCells="1">
              <from>
                <xdr:col>6</xdr:col>
                <xdr:colOff>19050</xdr:colOff>
                <xdr:row>351</xdr:row>
                <xdr:rowOff>19050</xdr:rowOff>
              </from>
              <to>
                <xdr:col>7</xdr:col>
                <xdr:colOff>450850</xdr:colOff>
                <xdr:row>352</xdr:row>
                <xdr:rowOff>0</xdr:rowOff>
              </to>
            </anchor>
          </controlPr>
        </control>
      </mc:Choice>
      <mc:Fallback>
        <control shapeId="2415634" r:id="rId39" name="CheckBox_2_1_Ex2"/>
      </mc:Fallback>
    </mc:AlternateContent>
    <mc:AlternateContent xmlns:mc="http://schemas.openxmlformats.org/markup-compatibility/2006">
      <mc:Choice Requires="x14">
        <control shapeId="2415635" r:id="rId41" name="CheckBox_3_1_Ex2">
          <controlPr defaultSize="0" disabled="1" autoLine="0" altText="" linkedCell="K361" r:id="rId42">
            <anchor moveWithCells="1" sizeWithCells="1">
              <from>
                <xdr:col>10</xdr:col>
                <xdr:colOff>19050</xdr:colOff>
                <xdr:row>351</xdr:row>
                <xdr:rowOff>19050</xdr:rowOff>
              </from>
              <to>
                <xdr:col>11</xdr:col>
                <xdr:colOff>450850</xdr:colOff>
                <xdr:row>352</xdr:row>
                <xdr:rowOff>0</xdr:rowOff>
              </to>
            </anchor>
          </controlPr>
        </control>
      </mc:Choice>
      <mc:Fallback>
        <control shapeId="2415635" r:id="rId41" name="CheckBox_3_1_Ex2"/>
      </mc:Fallback>
    </mc:AlternateContent>
    <mc:AlternateContent xmlns:mc="http://schemas.openxmlformats.org/markup-compatibility/2006">
      <mc:Choice Requires="x14">
        <control shapeId="2415636" r:id="rId43" name="CheckBox_4_1_Ex2">
          <controlPr defaultSize="0" disabled="1" autoLine="0" altText="" linkedCell="O361" r:id="rId44">
            <anchor moveWithCells="1" sizeWithCells="1">
              <from>
                <xdr:col>14</xdr:col>
                <xdr:colOff>19050</xdr:colOff>
                <xdr:row>351</xdr:row>
                <xdr:rowOff>19050</xdr:rowOff>
              </from>
              <to>
                <xdr:col>15</xdr:col>
                <xdr:colOff>450850</xdr:colOff>
                <xdr:row>352</xdr:row>
                <xdr:rowOff>0</xdr:rowOff>
              </to>
            </anchor>
          </controlPr>
        </control>
      </mc:Choice>
      <mc:Fallback>
        <control shapeId="2415636" r:id="rId43" name="CheckBox_4_1_Ex2"/>
      </mc:Fallback>
    </mc:AlternateContent>
    <mc:AlternateContent xmlns:mc="http://schemas.openxmlformats.org/markup-compatibility/2006">
      <mc:Choice Requires="x14">
        <control shapeId="2415637" r:id="rId45" name="AlarmIndicator">
          <controlPr defaultSize="0" autoLine="0" r:id="rId46">
            <anchor moveWithCells="1">
              <from>
                <xdr:col>1</xdr:col>
                <xdr:colOff>1631950</xdr:colOff>
                <xdr:row>60</xdr:row>
                <xdr:rowOff>133350</xdr:rowOff>
              </from>
              <to>
                <xdr:col>1</xdr:col>
                <xdr:colOff>4083050</xdr:colOff>
                <xdr:row>60</xdr:row>
                <xdr:rowOff>425450</xdr:rowOff>
              </to>
            </anchor>
          </controlPr>
        </control>
      </mc:Choice>
      <mc:Fallback>
        <control shapeId="2415637" r:id="rId45" name="AlarmIndicator"/>
      </mc:Fallback>
    </mc:AlternateContent>
    <mc:AlternateContent xmlns:mc="http://schemas.openxmlformats.org/markup-compatibility/2006">
      <mc:Choice Requires="x14">
        <control shapeId="2415638" r:id="rId47" name="Loop1_Calculation">
          <controlPr defaultSize="0" autoLine="0" r:id="rId48">
            <anchor moveWithCells="1" sizeWithCells="1">
              <from>
                <xdr:col>2</xdr:col>
                <xdr:colOff>50800</xdr:colOff>
                <xdr:row>435</xdr:row>
                <xdr:rowOff>50800</xdr:rowOff>
              </from>
              <to>
                <xdr:col>3</xdr:col>
                <xdr:colOff>438150</xdr:colOff>
                <xdr:row>435</xdr:row>
                <xdr:rowOff>336550</xdr:rowOff>
              </to>
            </anchor>
          </controlPr>
        </control>
      </mc:Choice>
      <mc:Fallback>
        <control shapeId="2415638" r:id="rId47" name="Loop1_Calculation"/>
      </mc:Fallback>
    </mc:AlternateContent>
    <mc:AlternateContent xmlns:mc="http://schemas.openxmlformats.org/markup-compatibility/2006">
      <mc:Choice Requires="x14">
        <control shapeId="2415639" r:id="rId49" name="Loop1">
          <controlPr defaultSize="0" autoLine="0" r:id="rId50">
            <anchor moveWithCells="1" sizeWithCells="1">
              <from>
                <xdr:col>2</xdr:col>
                <xdr:colOff>57150</xdr:colOff>
                <xdr:row>80</xdr:row>
                <xdr:rowOff>50800</xdr:rowOff>
              </from>
              <to>
                <xdr:col>3</xdr:col>
                <xdr:colOff>450850</xdr:colOff>
                <xdr:row>80</xdr:row>
                <xdr:rowOff>336550</xdr:rowOff>
              </to>
            </anchor>
          </controlPr>
        </control>
      </mc:Choice>
      <mc:Fallback>
        <control shapeId="2415639" r:id="rId49" name="Loop1"/>
      </mc:Fallback>
    </mc:AlternateContent>
    <mc:AlternateContent xmlns:mc="http://schemas.openxmlformats.org/markup-compatibility/2006">
      <mc:Choice Requires="x14">
        <control shapeId="2415640" r:id="rId51" name="Calculate_FDnet_2">
          <controlPr defaultSize="0" autoLine="0" r:id="rId52">
            <anchor moveWithCells="1" sizeWithCells="1">
              <from>
                <xdr:col>1</xdr:col>
                <xdr:colOff>666750</xdr:colOff>
                <xdr:row>583</xdr:row>
                <xdr:rowOff>19050</xdr:rowOff>
              </from>
              <to>
                <xdr:col>1</xdr:col>
                <xdr:colOff>3714750</xdr:colOff>
                <xdr:row>587</xdr:row>
                <xdr:rowOff>114300</xdr:rowOff>
              </to>
            </anchor>
          </controlPr>
        </control>
      </mc:Choice>
      <mc:Fallback>
        <control shapeId="2415640" r:id="rId51" name="Calculate_FDnet_2"/>
      </mc:Fallback>
    </mc:AlternateContent>
    <mc:AlternateContent xmlns:mc="http://schemas.openxmlformats.org/markup-compatibility/2006">
      <mc:Choice Requires="x14">
        <control shapeId="2415641" r:id="rId53" name="ChooseCableTyp">
          <controlPr defaultSize="0" autoLine="0" r:id="rId54">
            <anchor moveWithCells="1" sizeWithCells="1">
              <from>
                <xdr:col>1</xdr:col>
                <xdr:colOff>1885950</xdr:colOff>
                <xdr:row>405</xdr:row>
                <xdr:rowOff>19050</xdr:rowOff>
              </from>
              <to>
                <xdr:col>1</xdr:col>
                <xdr:colOff>4324350</xdr:colOff>
                <xdr:row>406</xdr:row>
                <xdr:rowOff>146050</xdr:rowOff>
              </to>
            </anchor>
          </controlPr>
        </control>
      </mc:Choice>
      <mc:Fallback>
        <control shapeId="2415641" r:id="rId53" name="ChooseCableTyp"/>
      </mc:Fallback>
    </mc:AlternateContent>
    <mc:AlternateContent xmlns:mc="http://schemas.openxmlformats.org/markup-compatibility/2006">
      <mc:Choice Requires="x14">
        <control shapeId="2415642" r:id="rId55" name="Calculate_FDnet_1">
          <controlPr defaultSize="0" autoLine="0" r:id="rId56">
            <anchor moveWithCells="1" sizeWithCells="1">
              <from>
                <xdr:col>1</xdr:col>
                <xdr:colOff>704850</xdr:colOff>
                <xdr:row>39</xdr:row>
                <xdr:rowOff>38100</xdr:rowOff>
              </from>
              <to>
                <xdr:col>1</xdr:col>
                <xdr:colOff>3752850</xdr:colOff>
                <xdr:row>44</xdr:row>
                <xdr:rowOff>0</xdr:rowOff>
              </to>
            </anchor>
          </controlPr>
        </control>
      </mc:Choice>
      <mc:Fallback>
        <control shapeId="2415642" r:id="rId55" name="Calculate_FDnet_1"/>
      </mc:Fallback>
    </mc:AlternateContent>
  </control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EB759-1CCF-4BDA-9F97-66031B84998D}">
  <sheetPr codeName="Tabelle12"/>
  <dimension ref="A1:Q421"/>
  <sheetViews>
    <sheetView showRuler="0" view="pageBreakPreview" zoomScale="130" zoomScaleNormal="70" zoomScaleSheetLayoutView="130" workbookViewId="0">
      <selection activeCell="G24" sqref="G24"/>
    </sheetView>
  </sheetViews>
  <sheetFormatPr defaultColWidth="11.453125" defaultRowHeight="12.5" x14ac:dyDescent="0.25"/>
  <cols>
    <col min="1" max="1" width="56.54296875" style="335" customWidth="1"/>
    <col min="2" max="2" width="24.7265625" style="335" customWidth="1"/>
    <col min="3" max="4" width="11.7265625" style="335" customWidth="1"/>
    <col min="5" max="5" width="63.54296875" style="335" customWidth="1"/>
    <col min="6" max="30" width="7.7265625" style="335" customWidth="1"/>
    <col min="31" max="16384" width="11.453125" style="335"/>
  </cols>
  <sheetData>
    <row r="1" spans="1:5" ht="16" thickBot="1" x14ac:dyDescent="0.4">
      <c r="A1" s="333" t="s">
        <v>142</v>
      </c>
      <c r="B1" s="333"/>
      <c r="C1" s="334"/>
      <c r="D1" s="334"/>
      <c r="E1" s="334"/>
    </row>
    <row r="3" spans="1:5" x14ac:dyDescent="0.25">
      <c r="A3" s="335" t="s">
        <v>282</v>
      </c>
      <c r="B3" s="335" t="s">
        <v>283</v>
      </c>
      <c r="C3" s="336">
        <v>3300</v>
      </c>
      <c r="D3" s="335" t="s">
        <v>268</v>
      </c>
      <c r="E3" s="335" t="s">
        <v>284</v>
      </c>
    </row>
    <row r="4" spans="1:5" x14ac:dyDescent="0.25">
      <c r="A4" s="335" t="s">
        <v>285</v>
      </c>
      <c r="B4" s="335" t="s">
        <v>286</v>
      </c>
      <c r="C4" s="337">
        <v>5000</v>
      </c>
      <c r="D4" s="335" t="s">
        <v>268</v>
      </c>
      <c r="E4" s="335" t="s">
        <v>287</v>
      </c>
    </row>
    <row r="5" spans="1:5" x14ac:dyDescent="0.25">
      <c r="A5" s="338" t="s">
        <v>701</v>
      </c>
      <c r="B5" s="335" t="s">
        <v>702</v>
      </c>
      <c r="C5" s="337">
        <v>64</v>
      </c>
      <c r="D5" s="339" t="s">
        <v>280</v>
      </c>
    </row>
    <row r="6" spans="1:5" x14ac:dyDescent="0.25">
      <c r="A6" s="338" t="s">
        <v>703</v>
      </c>
      <c r="B6" s="335" t="s">
        <v>704</v>
      </c>
      <c r="C6" s="337">
        <v>126</v>
      </c>
      <c r="D6" s="339" t="s">
        <v>280</v>
      </c>
      <c r="E6" s="335" t="s">
        <v>281</v>
      </c>
    </row>
    <row r="7" spans="1:5" x14ac:dyDescent="0.25">
      <c r="A7" s="338" t="s">
        <v>288</v>
      </c>
      <c r="B7" s="335" t="s">
        <v>289</v>
      </c>
      <c r="C7" s="337">
        <v>252</v>
      </c>
      <c r="D7" s="339" t="s">
        <v>280</v>
      </c>
    </row>
    <row r="8" spans="1:5" x14ac:dyDescent="0.25">
      <c r="A8" s="335" t="s">
        <v>290</v>
      </c>
      <c r="B8" s="335" t="s">
        <v>291</v>
      </c>
      <c r="C8" s="337">
        <v>0.5</v>
      </c>
      <c r="D8" s="335" t="s">
        <v>57</v>
      </c>
      <c r="E8" s="335" t="s">
        <v>292</v>
      </c>
    </row>
    <row r="9" spans="1:5" x14ac:dyDescent="0.25">
      <c r="A9" s="335" t="s">
        <v>290</v>
      </c>
      <c r="B9" s="335" t="s">
        <v>293</v>
      </c>
      <c r="C9" s="337">
        <v>0.88300000000000001</v>
      </c>
      <c r="D9" s="335" t="s">
        <v>57</v>
      </c>
      <c r="E9" s="335" t="s">
        <v>294</v>
      </c>
    </row>
    <row r="10" spans="1:5" x14ac:dyDescent="0.25">
      <c r="A10" s="335" t="s">
        <v>295</v>
      </c>
      <c r="B10" s="335" t="s">
        <v>296</v>
      </c>
      <c r="C10" s="336">
        <v>8.0000000000000002E-3</v>
      </c>
      <c r="D10" s="335" t="s">
        <v>57</v>
      </c>
    </row>
    <row r="11" spans="1:5" x14ac:dyDescent="0.25">
      <c r="A11" s="335" t="s">
        <v>297</v>
      </c>
      <c r="B11" s="335" t="s">
        <v>298</v>
      </c>
      <c r="C11" s="336">
        <v>2.1999999999999999E-2</v>
      </c>
      <c r="D11" s="335" t="s">
        <v>57</v>
      </c>
    </row>
    <row r="12" spans="1:5" x14ac:dyDescent="0.25">
      <c r="A12" s="335" t="s">
        <v>299</v>
      </c>
      <c r="B12" s="335" t="s">
        <v>300</v>
      </c>
      <c r="C12" s="336">
        <v>31</v>
      </c>
      <c r="D12" s="335" t="s">
        <v>301</v>
      </c>
    </row>
    <row r="13" spans="1:5" x14ac:dyDescent="0.25">
      <c r="A13" s="335" t="s">
        <v>705</v>
      </c>
      <c r="B13" s="335" t="s">
        <v>706</v>
      </c>
      <c r="C13" s="336">
        <v>12</v>
      </c>
      <c r="D13" s="335" t="s">
        <v>301</v>
      </c>
    </row>
    <row r="14" spans="1:5" x14ac:dyDescent="0.25">
      <c r="A14" s="335" t="s">
        <v>707</v>
      </c>
      <c r="B14" s="335" t="s">
        <v>708</v>
      </c>
      <c r="C14" s="336">
        <v>16</v>
      </c>
      <c r="D14" s="335" t="s">
        <v>301</v>
      </c>
    </row>
    <row r="15" spans="1:5" x14ac:dyDescent="0.25">
      <c r="A15" s="335" t="s">
        <v>709</v>
      </c>
      <c r="B15" s="335" t="s">
        <v>710</v>
      </c>
      <c r="C15" s="336">
        <v>6</v>
      </c>
      <c r="D15" s="335" t="s">
        <v>301</v>
      </c>
    </row>
    <row r="16" spans="1:5" x14ac:dyDescent="0.25">
      <c r="A16" s="335" t="s">
        <v>302</v>
      </c>
      <c r="B16" s="335" t="s">
        <v>303</v>
      </c>
      <c r="C16" s="336">
        <v>2.5000000000000001E-4</v>
      </c>
      <c r="D16" s="335" t="s">
        <v>57</v>
      </c>
    </row>
    <row r="17" spans="1:5" x14ac:dyDescent="0.25">
      <c r="A17" s="335" t="s">
        <v>711</v>
      </c>
      <c r="B17" s="335" t="s">
        <v>712</v>
      </c>
      <c r="C17" s="336">
        <v>0.72</v>
      </c>
      <c r="E17" s="335" t="s">
        <v>713</v>
      </c>
    </row>
    <row r="18" spans="1:5" x14ac:dyDescent="0.25">
      <c r="A18" s="335" t="s">
        <v>714</v>
      </c>
      <c r="B18" s="335" t="s">
        <v>715</v>
      </c>
      <c r="C18" s="336">
        <v>2.0000000000000001E-4</v>
      </c>
      <c r="D18" s="335" t="s">
        <v>57</v>
      </c>
    </row>
    <row r="19" spans="1:5" x14ac:dyDescent="0.25">
      <c r="A19" s="335" t="s">
        <v>716</v>
      </c>
      <c r="B19" s="335" t="s">
        <v>717</v>
      </c>
      <c r="C19" s="336">
        <v>10</v>
      </c>
    </row>
    <row r="20" spans="1:5" x14ac:dyDescent="0.25">
      <c r="A20" s="335" t="s">
        <v>718</v>
      </c>
      <c r="B20" s="335" t="s">
        <v>719</v>
      </c>
      <c r="C20" s="336">
        <v>2.0000000000000001E-4</v>
      </c>
      <c r="D20" s="335" t="s">
        <v>57</v>
      </c>
    </row>
    <row r="21" spans="1:5" x14ac:dyDescent="0.25">
      <c r="A21" s="335" t="s">
        <v>720</v>
      </c>
      <c r="B21" s="335" t="s">
        <v>721</v>
      </c>
      <c r="C21" s="336">
        <v>10</v>
      </c>
    </row>
    <row r="22" spans="1:5" x14ac:dyDescent="0.25">
      <c r="A22" s="335" t="s">
        <v>722</v>
      </c>
      <c r="B22" s="335" t="s">
        <v>723</v>
      </c>
      <c r="C22" s="336">
        <v>1.1999999999999999E-3</v>
      </c>
      <c r="D22" s="335" t="s">
        <v>57</v>
      </c>
      <c r="E22" s="335" t="s">
        <v>724</v>
      </c>
    </row>
    <row r="23" spans="1:5" x14ac:dyDescent="0.25">
      <c r="A23" s="335" t="s">
        <v>725</v>
      </c>
      <c r="B23" s="335" t="s">
        <v>726</v>
      </c>
      <c r="C23" s="336">
        <v>32</v>
      </c>
      <c r="E23" s="335" t="s">
        <v>727</v>
      </c>
    </row>
    <row r="24" spans="1:5" x14ac:dyDescent="0.25">
      <c r="A24" s="335" t="s">
        <v>728</v>
      </c>
      <c r="B24" s="335" t="s">
        <v>729</v>
      </c>
      <c r="C24" s="336">
        <v>10</v>
      </c>
      <c r="E24" s="335" t="s">
        <v>730</v>
      </c>
    </row>
    <row r="25" spans="1:5" x14ac:dyDescent="0.25">
      <c r="A25" s="335" t="s">
        <v>304</v>
      </c>
      <c r="B25" s="335" t="s">
        <v>305</v>
      </c>
      <c r="C25" s="336">
        <v>0.75</v>
      </c>
    </row>
    <row r="26" spans="1:5" x14ac:dyDescent="0.25">
      <c r="A26" s="335" t="s">
        <v>306</v>
      </c>
      <c r="B26" s="335" t="s">
        <v>307</v>
      </c>
      <c r="C26" s="336">
        <v>250</v>
      </c>
      <c r="D26" s="335" t="s">
        <v>274</v>
      </c>
      <c r="E26" s="335" t="s">
        <v>308</v>
      </c>
    </row>
    <row r="27" spans="1:5" x14ac:dyDescent="0.25">
      <c r="A27" s="335" t="s">
        <v>309</v>
      </c>
      <c r="B27" s="335" t="s">
        <v>310</v>
      </c>
      <c r="C27" s="336">
        <v>240</v>
      </c>
      <c r="D27" s="335" t="s">
        <v>274</v>
      </c>
      <c r="E27" s="335" t="s">
        <v>311</v>
      </c>
    </row>
    <row r="28" spans="1:5" x14ac:dyDescent="0.25">
      <c r="A28" s="335" t="s">
        <v>312</v>
      </c>
      <c r="B28" s="335" t="s">
        <v>313</v>
      </c>
      <c r="C28" s="336">
        <v>0.2</v>
      </c>
      <c r="D28" s="335" t="s">
        <v>274</v>
      </c>
    </row>
    <row r="29" spans="1:5" x14ac:dyDescent="0.25">
      <c r="A29" s="335" t="s">
        <v>731</v>
      </c>
      <c r="B29" s="335" t="s">
        <v>732</v>
      </c>
      <c r="C29" s="336">
        <v>0.1</v>
      </c>
      <c r="D29" s="335" t="s">
        <v>274</v>
      </c>
    </row>
    <row r="30" spans="1:5" x14ac:dyDescent="0.25">
      <c r="A30" s="335" t="s">
        <v>314</v>
      </c>
      <c r="B30" s="335" t="s">
        <v>315</v>
      </c>
      <c r="C30" s="336">
        <v>50</v>
      </c>
      <c r="D30" s="335" t="s">
        <v>274</v>
      </c>
    </row>
    <row r="31" spans="1:5" x14ac:dyDescent="0.25">
      <c r="A31" s="335" t="s">
        <v>316</v>
      </c>
      <c r="B31" s="335" t="s">
        <v>317</v>
      </c>
      <c r="C31" s="336">
        <v>500</v>
      </c>
      <c r="D31" s="335" t="s">
        <v>275</v>
      </c>
    </row>
    <row r="32" spans="1:5" x14ac:dyDescent="0.25">
      <c r="A32" s="335" t="s">
        <v>318</v>
      </c>
      <c r="B32" s="335" t="s">
        <v>319</v>
      </c>
      <c r="C32" s="336">
        <v>750</v>
      </c>
      <c r="D32" s="335" t="s">
        <v>275</v>
      </c>
    </row>
    <row r="33" spans="1:5" x14ac:dyDescent="0.25">
      <c r="A33" s="335" t="s">
        <v>320</v>
      </c>
      <c r="B33" s="335" t="s">
        <v>321</v>
      </c>
      <c r="C33" s="336">
        <v>1000</v>
      </c>
      <c r="D33" s="335" t="s">
        <v>275</v>
      </c>
    </row>
    <row r="34" spans="1:5" x14ac:dyDescent="0.25">
      <c r="A34" s="335" t="s">
        <v>733</v>
      </c>
      <c r="B34" s="335" t="s">
        <v>734</v>
      </c>
      <c r="C34" s="336">
        <v>30</v>
      </c>
      <c r="D34" s="335" t="s">
        <v>280</v>
      </c>
    </row>
    <row r="35" spans="1:5" x14ac:dyDescent="0.25">
      <c r="A35" s="335" t="s">
        <v>735</v>
      </c>
      <c r="B35" s="335" t="s">
        <v>736</v>
      </c>
      <c r="C35" s="336">
        <v>30</v>
      </c>
      <c r="D35" s="335" t="s">
        <v>280</v>
      </c>
    </row>
    <row r="36" spans="1:5" x14ac:dyDescent="0.25">
      <c r="A36" s="335" t="s">
        <v>737</v>
      </c>
      <c r="B36" s="335" t="s">
        <v>738</v>
      </c>
      <c r="C36" s="336">
        <v>50</v>
      </c>
      <c r="D36" s="335" t="s">
        <v>280</v>
      </c>
    </row>
    <row r="37" spans="1:5" x14ac:dyDescent="0.25">
      <c r="A37" s="335" t="s">
        <v>739</v>
      </c>
      <c r="B37" s="335" t="s">
        <v>740</v>
      </c>
      <c r="C37" s="336">
        <v>20</v>
      </c>
      <c r="D37" s="335" t="s">
        <v>280</v>
      </c>
    </row>
    <row r="38" spans="1:5" x14ac:dyDescent="0.25">
      <c r="A38" s="335" t="s">
        <v>741</v>
      </c>
      <c r="B38" s="335" t="s">
        <v>742</v>
      </c>
      <c r="C38" s="336">
        <v>8</v>
      </c>
      <c r="D38" s="335" t="s">
        <v>280</v>
      </c>
    </row>
    <row r="41" spans="1:5" ht="13" x14ac:dyDescent="0.3">
      <c r="A41" s="340" t="s">
        <v>743</v>
      </c>
    </row>
    <row r="42" spans="1:5" ht="13" x14ac:dyDescent="0.3">
      <c r="A42" s="335" t="s">
        <v>744</v>
      </c>
      <c r="B42" s="335" t="s">
        <v>745</v>
      </c>
      <c r="C42" s="336">
        <v>4.3E-3</v>
      </c>
      <c r="D42" s="335" t="s">
        <v>57</v>
      </c>
      <c r="E42" s="341" t="s">
        <v>746</v>
      </c>
    </row>
    <row r="43" spans="1:5" x14ac:dyDescent="0.25">
      <c r="A43" s="335" t="s">
        <v>747</v>
      </c>
      <c r="B43" s="335" t="s">
        <v>748</v>
      </c>
      <c r="C43" s="336">
        <v>13</v>
      </c>
      <c r="D43" s="335" t="s">
        <v>301</v>
      </c>
      <c r="E43" s="342" t="s">
        <v>749</v>
      </c>
    </row>
    <row r="44" spans="1:5" x14ac:dyDescent="0.25">
      <c r="A44" s="335" t="s">
        <v>750</v>
      </c>
      <c r="B44" s="335" t="s">
        <v>751</v>
      </c>
      <c r="C44" s="336">
        <v>440</v>
      </c>
      <c r="D44" s="335" t="s">
        <v>274</v>
      </c>
      <c r="E44" s="342" t="s">
        <v>752</v>
      </c>
    </row>
    <row r="45" spans="1:5" x14ac:dyDescent="0.25">
      <c r="A45" s="335" t="s">
        <v>753</v>
      </c>
      <c r="B45" s="335" t="s">
        <v>754</v>
      </c>
      <c r="C45" s="336">
        <v>190</v>
      </c>
      <c r="D45" s="335" t="s">
        <v>274</v>
      </c>
      <c r="E45" s="342" t="s">
        <v>755</v>
      </c>
    </row>
    <row r="46" spans="1:5" x14ac:dyDescent="0.25">
      <c r="A46" s="335" t="s">
        <v>756</v>
      </c>
      <c r="B46" s="335" t="s">
        <v>757</v>
      </c>
      <c r="C46" s="336">
        <v>1.25</v>
      </c>
      <c r="E46" s="342" t="s">
        <v>758</v>
      </c>
    </row>
    <row r="47" spans="1:5" x14ac:dyDescent="0.25">
      <c r="A47" s="335" t="s">
        <v>759</v>
      </c>
      <c r="B47" s="335" t="s">
        <v>760</v>
      </c>
      <c r="C47" s="336">
        <v>1.25</v>
      </c>
      <c r="E47" s="342" t="s">
        <v>761</v>
      </c>
    </row>
    <row r="48" spans="1:5" x14ac:dyDescent="0.25">
      <c r="A48" s="335" t="s">
        <v>762</v>
      </c>
      <c r="B48" s="335" t="s">
        <v>763</v>
      </c>
      <c r="C48" s="336">
        <v>1.4</v>
      </c>
      <c r="D48" s="335" t="s">
        <v>301</v>
      </c>
      <c r="E48" s="342" t="s">
        <v>764</v>
      </c>
    </row>
    <row r="49" spans="1:5" x14ac:dyDescent="0.25">
      <c r="A49" s="335" t="s">
        <v>765</v>
      </c>
      <c r="B49" s="335" t="s">
        <v>766</v>
      </c>
      <c r="C49" s="336">
        <v>200</v>
      </c>
      <c r="D49" s="335" t="s">
        <v>275</v>
      </c>
      <c r="E49" s="342" t="s">
        <v>767</v>
      </c>
    </row>
    <row r="50" spans="1:5" x14ac:dyDescent="0.25">
      <c r="A50" s="335" t="s">
        <v>768</v>
      </c>
      <c r="B50" s="335" t="s">
        <v>769</v>
      </c>
      <c r="C50" s="336">
        <v>19</v>
      </c>
      <c r="D50" s="335" t="s">
        <v>301</v>
      </c>
      <c r="E50" s="342" t="s">
        <v>770</v>
      </c>
    </row>
    <row r="51" spans="1:5" x14ac:dyDescent="0.25">
      <c r="A51" s="335" t="s">
        <v>771</v>
      </c>
      <c r="B51" s="335" t="s">
        <v>772</v>
      </c>
      <c r="C51" s="336">
        <v>3</v>
      </c>
      <c r="E51" s="342" t="s">
        <v>773</v>
      </c>
    </row>
    <row r="52" spans="1:5" x14ac:dyDescent="0.25">
      <c r="A52" s="335" t="s">
        <v>774</v>
      </c>
      <c r="B52" s="335" t="s">
        <v>775</v>
      </c>
      <c r="C52" s="336">
        <v>20</v>
      </c>
    </row>
    <row r="54" spans="1:5" ht="13" x14ac:dyDescent="0.3">
      <c r="A54" s="340" t="s">
        <v>776</v>
      </c>
    </row>
    <row r="55" spans="1:5" x14ac:dyDescent="0.25">
      <c r="E55" s="335" t="s">
        <v>777</v>
      </c>
    </row>
    <row r="56" spans="1:5" x14ac:dyDescent="0.25">
      <c r="E56" s="335" t="s">
        <v>778</v>
      </c>
    </row>
    <row r="120" spans="3:3" x14ac:dyDescent="0.25">
      <c r="C120" s="343"/>
    </row>
    <row r="122" spans="3:3" x14ac:dyDescent="0.25">
      <c r="C122" s="343"/>
    </row>
    <row r="266" spans="3:17" x14ac:dyDescent="0.25">
      <c r="C266" s="343"/>
      <c r="E266" s="343"/>
      <c r="G266" s="343"/>
      <c r="I266" s="343"/>
      <c r="K266" s="343"/>
      <c r="M266" s="343"/>
      <c r="O266" s="343"/>
      <c r="Q266" s="343"/>
    </row>
    <row r="267" spans="3:17" x14ac:dyDescent="0.25">
      <c r="C267" s="343"/>
      <c r="E267" s="343"/>
      <c r="G267" s="343"/>
      <c r="I267" s="343"/>
      <c r="K267" s="343"/>
      <c r="M267" s="343"/>
      <c r="O267" s="343"/>
      <c r="Q267" s="343"/>
    </row>
    <row r="268" spans="3:17" x14ac:dyDescent="0.25">
      <c r="C268" s="343"/>
      <c r="E268" s="343"/>
      <c r="G268" s="343"/>
      <c r="I268" s="343"/>
      <c r="K268" s="343"/>
      <c r="M268" s="343"/>
      <c r="O268" s="343"/>
      <c r="Q268" s="343"/>
    </row>
    <row r="269" spans="3:17" x14ac:dyDescent="0.25">
      <c r="C269" s="343"/>
      <c r="E269" s="343"/>
      <c r="G269" s="343"/>
      <c r="I269" s="343"/>
      <c r="K269" s="343"/>
      <c r="M269" s="343"/>
      <c r="O269" s="343"/>
      <c r="Q269" s="343"/>
    </row>
    <row r="270" spans="3:17" x14ac:dyDescent="0.25">
      <c r="C270" s="343"/>
      <c r="E270" s="343"/>
      <c r="G270" s="343"/>
      <c r="I270" s="343"/>
      <c r="K270" s="343"/>
      <c r="M270" s="343"/>
      <c r="O270" s="343"/>
      <c r="Q270" s="343"/>
    </row>
    <row r="271" spans="3:17" x14ac:dyDescent="0.25">
      <c r="C271" s="343"/>
      <c r="E271" s="343"/>
      <c r="G271" s="343"/>
      <c r="I271" s="343"/>
      <c r="K271" s="343"/>
      <c r="M271" s="343"/>
      <c r="O271" s="343"/>
      <c r="Q271" s="343"/>
    </row>
    <row r="272" spans="3:17" x14ac:dyDescent="0.25">
      <c r="C272" s="343"/>
      <c r="E272" s="343"/>
      <c r="G272" s="343"/>
      <c r="I272" s="343"/>
      <c r="K272" s="343"/>
      <c r="M272" s="343"/>
      <c r="O272" s="343"/>
      <c r="Q272" s="343"/>
    </row>
    <row r="273" spans="3:17" x14ac:dyDescent="0.25">
      <c r="C273" s="343"/>
      <c r="E273" s="343"/>
      <c r="G273" s="343"/>
      <c r="I273" s="343"/>
      <c r="K273" s="343"/>
      <c r="M273" s="343"/>
      <c r="O273" s="343"/>
      <c r="Q273" s="343"/>
    </row>
    <row r="363" spans="3:3" x14ac:dyDescent="0.25">
      <c r="C363" s="335" t="b">
        <v>1</v>
      </c>
    </row>
    <row r="365" spans="3:3" x14ac:dyDescent="0.25">
      <c r="C365" s="335" t="b">
        <v>1</v>
      </c>
    </row>
    <row r="371" spans="3:3" x14ac:dyDescent="0.25">
      <c r="C371" s="335">
        <v>0</v>
      </c>
    </row>
    <row r="372" spans="3:3" x14ac:dyDescent="0.25">
      <c r="C372" s="335">
        <v>0</v>
      </c>
    </row>
    <row r="381" spans="3:3" x14ac:dyDescent="0.25">
      <c r="C381" s="343"/>
    </row>
    <row r="382" spans="3:3" x14ac:dyDescent="0.25">
      <c r="C382" s="343"/>
    </row>
    <row r="421" spans="3:3" x14ac:dyDescent="0.25">
      <c r="C421" s="335" t="b">
        <v>1</v>
      </c>
    </row>
  </sheetData>
  <sheetProtection selectLockedCells="1" selectUnlockedCells="1"/>
  <phoneticPr fontId="31" type="noConversion"/>
  <printOptions headings="1"/>
  <pageMargins left="0.78740157480314965" right="0.78740157480314965" top="0.78740157480314965" bottom="0.78740157480314965" header="0.39370078740157483" footer="0.39370078740157483"/>
  <pageSetup paperSize="8" scale="76" orientation="portrait" r:id="rId1"/>
  <headerFooter alignWithMargins="0">
    <oddHeader>&amp;L&amp;G&amp;RFX2010 Sinteso Quantities Tool</oddHeader>
    <oddFooter>&amp;LSiemens Building Technologies
Fire Safety + Security Products&amp;R&amp;F
&amp;D</oddFooter>
  </headerFooter>
  <colBreaks count="1" manualBreakCount="1">
    <brk id="10" max="1048575" man="1"/>
  </colBreaks>
  <drawing r:id="rId2"/>
  <legacyDrawing r:id="rId3"/>
  <legacyDrawingHF r:id="rId4"/>
  <oleObjects>
    <mc:AlternateContent xmlns:mc="http://schemas.openxmlformats.org/markup-compatibility/2006">
      <mc:Choice Requires="x14">
        <oleObject progId="Equation.3" shapeId="2416641" r:id="rId5">
          <objectPr defaultSize="0" autoPict="0" r:id="rId6">
            <anchor moveWithCells="1">
              <from>
                <xdr:col>0</xdr:col>
                <xdr:colOff>190500</xdr:colOff>
                <xdr:row>55</xdr:row>
                <xdr:rowOff>19050</xdr:rowOff>
              </from>
              <to>
                <xdr:col>1</xdr:col>
                <xdr:colOff>1098550</xdr:colOff>
                <xdr:row>63</xdr:row>
                <xdr:rowOff>31750</xdr:rowOff>
              </to>
            </anchor>
          </objectPr>
        </oleObject>
      </mc:Choice>
      <mc:Fallback>
        <oleObject progId="Equation.3" shapeId="2416641" r:id="rId5"/>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A41A31-4181-4AEE-A791-DDCF3D8470EA}">
  <sheetPr codeName="Tabelle9">
    <pageSetUpPr autoPageBreaks="0" fitToPage="1"/>
  </sheetPr>
  <dimension ref="A1:R239"/>
  <sheetViews>
    <sheetView topLeftCell="A86" zoomScale="85" zoomScaleNormal="85" zoomScaleSheetLayoutView="75" workbookViewId="0">
      <selection activeCell="Q121" sqref="Q121"/>
    </sheetView>
  </sheetViews>
  <sheetFormatPr defaultColWidth="11.453125" defaultRowHeight="12.5" x14ac:dyDescent="0.25"/>
  <cols>
    <col min="1" max="1" width="40" style="350" customWidth="1"/>
    <col min="2" max="13" width="12.54296875" style="350" customWidth="1"/>
    <col min="14" max="16384" width="11.453125" style="350"/>
  </cols>
  <sheetData>
    <row r="1" spans="1:13" ht="13" x14ac:dyDescent="0.3">
      <c r="A1" s="353" t="s">
        <v>136</v>
      </c>
      <c r="B1" s="353"/>
      <c r="J1" s="542"/>
      <c r="K1" s="542"/>
      <c r="L1" s="542"/>
    </row>
    <row r="2" spans="1:13" x14ac:dyDescent="0.25">
      <c r="A2" s="543" t="s">
        <v>137</v>
      </c>
      <c r="F2" s="542"/>
      <c r="G2" s="542"/>
      <c r="H2" s="542"/>
      <c r="I2" s="542"/>
      <c r="J2" s="542"/>
      <c r="K2" s="542"/>
      <c r="L2" s="542"/>
    </row>
    <row r="3" spans="1:13" x14ac:dyDescent="0.25">
      <c r="A3" s="544" t="s">
        <v>138</v>
      </c>
      <c r="F3" s="542"/>
      <c r="G3" s="542"/>
      <c r="H3" s="542"/>
      <c r="I3" s="542"/>
      <c r="J3" s="542"/>
      <c r="K3" s="542"/>
      <c r="L3" s="542"/>
    </row>
    <row r="4" spans="1:13" x14ac:dyDescent="0.25">
      <c r="A4" s="545" t="s">
        <v>139</v>
      </c>
      <c r="F4" s="542"/>
      <c r="G4" s="542"/>
      <c r="H4" s="542"/>
      <c r="I4" s="542"/>
      <c r="J4" s="542"/>
      <c r="K4" s="542"/>
      <c r="L4" s="542"/>
    </row>
    <row r="5" spans="1:13" x14ac:dyDescent="0.25">
      <c r="A5" s="546" t="s">
        <v>140</v>
      </c>
      <c r="F5" s="542"/>
      <c r="G5" s="542"/>
      <c r="H5" s="542"/>
      <c r="I5" s="542"/>
      <c r="J5" s="542"/>
      <c r="K5" s="542"/>
      <c r="L5" s="542"/>
    </row>
    <row r="6" spans="1:13" x14ac:dyDescent="0.25">
      <c r="A6" s="547" t="s">
        <v>141</v>
      </c>
      <c r="F6" s="542"/>
      <c r="G6" s="542"/>
      <c r="H6" s="542"/>
      <c r="I6" s="542"/>
      <c r="J6" s="542"/>
      <c r="K6" s="542"/>
      <c r="L6" s="542"/>
    </row>
    <row r="7" spans="1:13" ht="13" thickBot="1" x14ac:dyDescent="0.3">
      <c r="M7" s="430"/>
    </row>
    <row r="8" spans="1:13" ht="16" thickBot="1" x14ac:dyDescent="0.4">
      <c r="A8" s="541" t="s">
        <v>142</v>
      </c>
      <c r="B8" s="541"/>
      <c r="C8" s="548"/>
      <c r="D8" s="548"/>
      <c r="E8" s="548"/>
      <c r="F8" s="548"/>
      <c r="G8" s="548"/>
      <c r="H8" s="548"/>
      <c r="I8" s="549"/>
      <c r="J8" s="549"/>
      <c r="K8" s="549"/>
      <c r="L8" s="549"/>
      <c r="M8" s="550"/>
    </row>
    <row r="10" spans="1:13" s="551" customFormat="1" x14ac:dyDescent="0.25">
      <c r="C10" s="552"/>
    </row>
    <row r="11" spans="1:13" s="551" customFormat="1" x14ac:dyDescent="0.25">
      <c r="C11" s="553"/>
    </row>
    <row r="12" spans="1:13" s="551" customFormat="1" x14ac:dyDescent="0.25">
      <c r="A12" s="554"/>
      <c r="C12" s="553"/>
    </row>
    <row r="13" spans="1:13" s="551" customFormat="1" x14ac:dyDescent="0.25">
      <c r="A13" s="554"/>
      <c r="C13" s="553"/>
      <c r="J13" s="555"/>
      <c r="K13" s="556"/>
      <c r="L13" s="557"/>
    </row>
    <row r="14" spans="1:13" s="551" customFormat="1" x14ac:dyDescent="0.25">
      <c r="A14" s="351" t="s">
        <v>418</v>
      </c>
      <c r="C14" s="558">
        <v>0.5</v>
      </c>
      <c r="D14" s="551" t="s">
        <v>57</v>
      </c>
      <c r="E14" s="350" t="s">
        <v>144</v>
      </c>
    </row>
    <row r="15" spans="1:13" x14ac:dyDescent="0.25">
      <c r="A15" s="356" t="s">
        <v>143</v>
      </c>
      <c r="C15" s="558">
        <v>0.5</v>
      </c>
      <c r="D15" s="350" t="s">
        <v>57</v>
      </c>
      <c r="E15" s="350" t="s">
        <v>144</v>
      </c>
    </row>
    <row r="16" spans="1:13" x14ac:dyDescent="0.25">
      <c r="A16" s="356" t="s">
        <v>421</v>
      </c>
      <c r="C16" s="558">
        <v>0.2</v>
      </c>
      <c r="D16" s="350" t="s">
        <v>57</v>
      </c>
      <c r="E16" s="350" t="s">
        <v>144</v>
      </c>
    </row>
    <row r="17" spans="1:13" x14ac:dyDescent="0.25">
      <c r="A17" s="350" t="s">
        <v>145</v>
      </c>
      <c r="C17" s="558">
        <v>0.1</v>
      </c>
      <c r="D17" s="350" t="s">
        <v>57</v>
      </c>
      <c r="E17" s="350" t="s">
        <v>144</v>
      </c>
    </row>
    <row r="18" spans="1:13" x14ac:dyDescent="0.25">
      <c r="A18" s="350" t="s">
        <v>146</v>
      </c>
      <c r="C18" s="559">
        <v>1</v>
      </c>
      <c r="D18" s="350" t="s">
        <v>147</v>
      </c>
    </row>
    <row r="19" spans="1:13" x14ac:dyDescent="0.25">
      <c r="A19" s="350" t="s">
        <v>148</v>
      </c>
      <c r="C19" s="559">
        <v>16</v>
      </c>
      <c r="D19" s="350" t="s">
        <v>147</v>
      </c>
    </row>
    <row r="20" spans="1:13" x14ac:dyDescent="0.25">
      <c r="A20" s="350" t="s">
        <v>149</v>
      </c>
      <c r="C20" s="559">
        <v>32</v>
      </c>
      <c r="D20" s="350" t="s">
        <v>147</v>
      </c>
    </row>
    <row r="21" spans="1:13" ht="13" thickBot="1" x14ac:dyDescent="0.3">
      <c r="A21" s="430" t="s">
        <v>419</v>
      </c>
      <c r="B21" s="430"/>
      <c r="C21" s="558">
        <v>1</v>
      </c>
      <c r="D21" s="350" t="s">
        <v>57</v>
      </c>
      <c r="E21" s="350" t="s">
        <v>420</v>
      </c>
      <c r="F21" s="430"/>
      <c r="G21" s="430"/>
      <c r="H21" s="430"/>
      <c r="I21" s="430"/>
      <c r="J21" s="430"/>
      <c r="K21" s="430"/>
      <c r="L21" s="430"/>
      <c r="M21" s="430"/>
    </row>
    <row r="22" spans="1:13" ht="16" thickBot="1" x14ac:dyDescent="0.4">
      <c r="A22" s="560" t="s">
        <v>150</v>
      </c>
      <c r="B22" s="560"/>
      <c r="C22" s="561"/>
      <c r="D22" s="561"/>
      <c r="E22" s="561"/>
      <c r="F22" s="561"/>
      <c r="G22" s="561"/>
      <c r="H22" s="561"/>
      <c r="I22" s="550"/>
      <c r="J22" s="550"/>
      <c r="K22" s="550"/>
      <c r="L22" s="550"/>
      <c r="M22" s="550"/>
    </row>
    <row r="24" spans="1:13" ht="13" x14ac:dyDescent="0.3">
      <c r="C24" s="415" t="s">
        <v>151</v>
      </c>
      <c r="D24" s="415"/>
      <c r="E24" s="415"/>
      <c r="F24" s="415"/>
      <c r="G24" s="415"/>
      <c r="H24" s="415"/>
      <c r="I24" s="562" t="s">
        <v>71</v>
      </c>
      <c r="J24" s="415" t="s">
        <v>152</v>
      </c>
      <c r="K24" s="415"/>
      <c r="L24" s="415"/>
      <c r="M24" s="415"/>
    </row>
    <row r="25" spans="1:13" ht="13" x14ac:dyDescent="0.3">
      <c r="C25" s="563" t="s">
        <v>153</v>
      </c>
      <c r="D25" s="564" t="s">
        <v>154</v>
      </c>
      <c r="E25" s="563" t="s">
        <v>155</v>
      </c>
      <c r="F25" s="563" t="s">
        <v>156</v>
      </c>
      <c r="G25" s="563" t="s">
        <v>157</v>
      </c>
      <c r="H25" s="563" t="s">
        <v>158</v>
      </c>
      <c r="I25" s="562" t="s">
        <v>159</v>
      </c>
      <c r="J25" s="563" t="s">
        <v>153</v>
      </c>
      <c r="K25" s="564" t="s">
        <v>154</v>
      </c>
      <c r="L25" s="563" t="s">
        <v>157</v>
      </c>
      <c r="M25" s="563" t="s">
        <v>158</v>
      </c>
    </row>
    <row r="26" spans="1:13" ht="13.5" thickBot="1" x14ac:dyDescent="0.3">
      <c r="A26" s="565"/>
      <c r="B26" s="565"/>
      <c r="C26" s="430"/>
      <c r="D26" s="430"/>
      <c r="E26" s="566"/>
      <c r="F26" s="566"/>
      <c r="G26" s="430"/>
      <c r="H26" s="430"/>
      <c r="I26" s="430"/>
      <c r="J26" s="430"/>
      <c r="K26" s="430"/>
      <c r="L26" s="430"/>
      <c r="M26" s="430"/>
    </row>
    <row r="27" spans="1:13" ht="13" x14ac:dyDescent="0.3">
      <c r="A27" s="567" t="s">
        <v>397</v>
      </c>
      <c r="B27" s="568"/>
      <c r="C27" s="569"/>
      <c r="D27" s="570"/>
      <c r="E27" s="569"/>
      <c r="F27" s="569"/>
      <c r="G27" s="569"/>
      <c r="H27" s="569"/>
      <c r="I27" s="571"/>
      <c r="J27" s="569"/>
      <c r="K27" s="570"/>
      <c r="L27" s="569"/>
      <c r="M27" s="569"/>
    </row>
    <row r="28" spans="1:13" x14ac:dyDescent="0.25">
      <c r="A28" s="480" t="s">
        <v>160</v>
      </c>
      <c r="C28" s="572">
        <f>FC360_Panel!F89</f>
        <v>3.9E-2</v>
      </c>
      <c r="D28" s="572">
        <f>FC360_Panel!H89</f>
        <v>3.9E-2</v>
      </c>
      <c r="E28" s="542">
        <v>24</v>
      </c>
      <c r="F28" s="573">
        <f>IF(21&lt;E28,IF(E28&lt;30,100%,80%),80%)</f>
        <v>1</v>
      </c>
      <c r="G28" s="574">
        <f>C28*E28/F28</f>
        <v>0.93599999999999994</v>
      </c>
      <c r="H28" s="574">
        <f>D28*E28/F28</f>
        <v>0.93599999999999994</v>
      </c>
      <c r="I28" s="546">
        <f>IF(OR($C$109=1,$C$109=2,$C$109=3,$C$109=4),1,0)</f>
        <v>1</v>
      </c>
      <c r="L28" s="574">
        <f>G28*I28</f>
        <v>0.93599999999999994</v>
      </c>
      <c r="M28" s="574">
        <f>H28*I28</f>
        <v>0.93599999999999994</v>
      </c>
    </row>
    <row r="29" spans="1:13" x14ac:dyDescent="0.25">
      <c r="A29" s="350" t="s">
        <v>161</v>
      </c>
      <c r="C29" s="572">
        <f>FC360_Panel!F92</f>
        <v>3.90123564023536E-2</v>
      </c>
      <c r="D29" s="572">
        <f>FC360_Panel!H92</f>
        <v>3.90123564023536E-2</v>
      </c>
      <c r="E29" s="542">
        <v>24</v>
      </c>
      <c r="F29" s="573">
        <f>IF(21&lt;E29,IF(E29&lt;30,100%,80%),80%)</f>
        <v>1</v>
      </c>
      <c r="G29" s="574">
        <f>C29*E29/F29</f>
        <v>0.93629655365648645</v>
      </c>
      <c r="H29" s="574">
        <f>D29*E29/F29</f>
        <v>0.93629655365648645</v>
      </c>
      <c r="I29" s="546">
        <f>IF(OR($C$109=3,$C$109=4),1,0)</f>
        <v>0</v>
      </c>
      <c r="L29" s="574">
        <f>G29*I29</f>
        <v>0</v>
      </c>
      <c r="M29" s="574">
        <f>H29*I29</f>
        <v>0</v>
      </c>
    </row>
    <row r="30" spans="1:13" ht="13" thickBot="1" x14ac:dyDescent="0.3">
      <c r="E30" s="542"/>
      <c r="F30" s="542"/>
      <c r="I30" s="542"/>
    </row>
    <row r="31" spans="1:13" ht="13.5" thickTop="1" x14ac:dyDescent="0.3">
      <c r="A31" s="480"/>
      <c r="B31" s="480"/>
      <c r="E31" s="542"/>
      <c r="F31" s="542"/>
      <c r="I31" s="542"/>
      <c r="J31" s="563"/>
      <c r="K31" s="564"/>
      <c r="L31" s="575" t="str">
        <f>L$25</f>
        <v>P norm [W]</v>
      </c>
      <c r="M31" s="576" t="str">
        <f>M$25</f>
        <v>P alarm [W]</v>
      </c>
    </row>
    <row r="32" spans="1:13" ht="13" thickBot="1" x14ac:dyDescent="0.3">
      <c r="A32" s="350" t="s">
        <v>162</v>
      </c>
      <c r="E32" s="542"/>
      <c r="F32" s="542"/>
      <c r="I32" s="577"/>
      <c r="J32" s="400"/>
      <c r="K32" s="400"/>
      <c r="L32" s="578">
        <f>SUM(L$28:L$29)</f>
        <v>0.93599999999999994</v>
      </c>
      <c r="M32" s="579">
        <f>SUM(M$28:M$29)</f>
        <v>0.93599999999999994</v>
      </c>
    </row>
    <row r="33" spans="1:13" ht="13" thickTop="1" x14ac:dyDescent="0.25">
      <c r="E33" s="542"/>
      <c r="F33" s="542"/>
      <c r="I33" s="542"/>
    </row>
    <row r="34" spans="1:13" ht="13" x14ac:dyDescent="0.3">
      <c r="A34" s="567" t="s">
        <v>113</v>
      </c>
      <c r="B34" s="569"/>
      <c r="C34" s="569"/>
      <c r="D34" s="570"/>
      <c r="E34" s="569"/>
      <c r="F34" s="569"/>
      <c r="G34" s="569"/>
      <c r="H34" s="569"/>
      <c r="I34" s="571"/>
      <c r="J34" s="569"/>
      <c r="K34" s="570"/>
      <c r="L34" s="569"/>
      <c r="M34" s="569"/>
    </row>
    <row r="35" spans="1:13" x14ac:dyDescent="0.25">
      <c r="A35" s="364" t="s">
        <v>163</v>
      </c>
      <c r="B35" s="542"/>
      <c r="C35" s="423"/>
      <c r="D35" s="423"/>
      <c r="E35" s="542"/>
      <c r="F35" s="573"/>
      <c r="G35" s="400"/>
      <c r="H35" s="400"/>
      <c r="I35" s="542"/>
      <c r="L35" s="580">
        <v>0</v>
      </c>
      <c r="M35" s="580">
        <v>0</v>
      </c>
    </row>
    <row r="36" spans="1:13" x14ac:dyDescent="0.25">
      <c r="A36" s="364" t="s">
        <v>164</v>
      </c>
      <c r="B36" s="542"/>
      <c r="C36" s="423"/>
      <c r="D36" s="423"/>
      <c r="E36" s="542"/>
      <c r="F36" s="573"/>
      <c r="G36" s="400"/>
      <c r="H36" s="400"/>
      <c r="I36" s="542"/>
      <c r="L36" s="580">
        <v>0</v>
      </c>
      <c r="M36" s="580">
        <v>0</v>
      </c>
    </row>
    <row r="37" spans="1:13" ht="13" thickBot="1" x14ac:dyDescent="0.3">
      <c r="A37" s="480"/>
      <c r="E37" s="542"/>
      <c r="F37" s="542"/>
      <c r="I37" s="542"/>
    </row>
    <row r="38" spans="1:13" ht="13.5" thickTop="1" x14ac:dyDescent="0.3">
      <c r="A38" s="480"/>
      <c r="B38" s="480"/>
      <c r="E38" s="542"/>
      <c r="F38" s="542"/>
      <c r="I38" s="542"/>
      <c r="J38" s="563"/>
      <c r="K38" s="564"/>
      <c r="L38" s="575" t="str">
        <f>L$25</f>
        <v>P norm [W]</v>
      </c>
      <c r="M38" s="576" t="str">
        <f>M$25</f>
        <v>P alarm [W]</v>
      </c>
    </row>
    <row r="39" spans="1:13" ht="13" thickBot="1" x14ac:dyDescent="0.3">
      <c r="A39" s="350" t="s">
        <v>165</v>
      </c>
      <c r="E39" s="542"/>
      <c r="F39" s="542"/>
      <c r="I39" s="577"/>
      <c r="J39" s="400"/>
      <c r="K39" s="400"/>
      <c r="L39" s="578">
        <f>SUM(L$35:L$36)</f>
        <v>0</v>
      </c>
      <c r="M39" s="579">
        <f>SUM(M$35:M$36)</f>
        <v>0</v>
      </c>
    </row>
    <row r="40" spans="1:13" ht="13" thickTop="1" x14ac:dyDescent="0.25">
      <c r="E40" s="542"/>
      <c r="F40" s="542"/>
      <c r="I40" s="542"/>
    </row>
    <row r="41" spans="1:13" ht="13" x14ac:dyDescent="0.3">
      <c r="A41" s="567" t="s">
        <v>166</v>
      </c>
      <c r="B41" s="568"/>
      <c r="C41" s="569"/>
      <c r="D41" s="570"/>
      <c r="E41" s="569"/>
      <c r="F41" s="569"/>
      <c r="G41" s="569"/>
      <c r="H41" s="569"/>
      <c r="I41" s="571"/>
      <c r="J41" s="569"/>
      <c r="K41" s="570"/>
      <c r="L41" s="569"/>
      <c r="M41" s="569"/>
    </row>
    <row r="42" spans="1:13" ht="13" x14ac:dyDescent="0.3">
      <c r="A42" s="581" t="s">
        <v>58</v>
      </c>
      <c r="B42" s="581"/>
      <c r="C42" s="563" t="str">
        <f t="shared" ref="C42:M42" si="0">C$25</f>
        <v>I norm [A]</v>
      </c>
      <c r="D42" s="563" t="str">
        <f t="shared" si="0"/>
        <v>I alarm [A]</v>
      </c>
      <c r="E42" s="563" t="str">
        <f t="shared" si="0"/>
        <v>U [V]</v>
      </c>
      <c r="F42" s="563" t="str">
        <f t="shared" si="0"/>
        <v>n [%]</v>
      </c>
      <c r="G42" s="563" t="str">
        <f t="shared" si="0"/>
        <v>P norm [W]</v>
      </c>
      <c r="H42" s="563" t="str">
        <f t="shared" si="0"/>
        <v>P alarm [W]</v>
      </c>
      <c r="I42" s="563" t="str">
        <f t="shared" si="0"/>
        <v>Quant. [pcs]</v>
      </c>
      <c r="J42" s="563" t="str">
        <f t="shared" si="0"/>
        <v>I norm [A]</v>
      </c>
      <c r="K42" s="563" t="str">
        <f t="shared" si="0"/>
        <v>I alarm [A]</v>
      </c>
      <c r="L42" s="563" t="str">
        <f t="shared" si="0"/>
        <v>P norm [W]</v>
      </c>
      <c r="M42" s="563" t="str">
        <f t="shared" si="0"/>
        <v>P alarm [W]</v>
      </c>
    </row>
    <row r="43" spans="1:13" x14ac:dyDescent="0.25">
      <c r="A43" s="350" t="s">
        <v>59</v>
      </c>
      <c r="C43" s="572">
        <f>FC360_Panel!F100</f>
        <v>0</v>
      </c>
      <c r="D43" s="572">
        <f>FC360_Panel!H100</f>
        <v>0</v>
      </c>
      <c r="E43" s="542">
        <v>24</v>
      </c>
      <c r="F43" s="573">
        <f>IF(21&lt;E43,IF(E43&lt;30,100%,80%),80%)</f>
        <v>1</v>
      </c>
      <c r="G43" s="574">
        <f>C43*E43/F43</f>
        <v>0</v>
      </c>
      <c r="H43" s="574">
        <f>D43*E43/F43</f>
        <v>0</v>
      </c>
      <c r="I43" s="546">
        <v>1</v>
      </c>
      <c r="J43" s="580">
        <f>C43*I43</f>
        <v>0</v>
      </c>
      <c r="K43" s="580">
        <f>D43*I43</f>
        <v>0</v>
      </c>
      <c r="L43" s="574">
        <f>G43*I43</f>
        <v>0</v>
      </c>
      <c r="M43" s="574">
        <f>H43*I43</f>
        <v>0</v>
      </c>
    </row>
    <row r="44" spans="1:13" x14ac:dyDescent="0.25">
      <c r="A44" s="351" t="s">
        <v>60</v>
      </c>
      <c r="C44" s="572">
        <f>FC360_Panel!F101</f>
        <v>0</v>
      </c>
      <c r="D44" s="572">
        <f>FC360_Panel!H101</f>
        <v>0</v>
      </c>
      <c r="E44" s="542">
        <v>24</v>
      </c>
      <c r="F44" s="573">
        <f>IF(21&lt;E44,IF(E44&lt;30,100%,80%),80%)</f>
        <v>1</v>
      </c>
      <c r="G44" s="574">
        <f>C44*E44/F44</f>
        <v>0</v>
      </c>
      <c r="H44" s="574">
        <f>D44*E44/F44</f>
        <v>0</v>
      </c>
      <c r="I44" s="546">
        <v>1</v>
      </c>
      <c r="J44" s="580">
        <f>C44*I44</f>
        <v>0</v>
      </c>
      <c r="K44" s="580">
        <f>D44*I44</f>
        <v>0</v>
      </c>
      <c r="L44" s="574">
        <f>G44*I44</f>
        <v>0</v>
      </c>
      <c r="M44" s="574">
        <f>H44*I44</f>
        <v>0</v>
      </c>
    </row>
    <row r="45" spans="1:13" x14ac:dyDescent="0.25">
      <c r="E45" s="542"/>
      <c r="F45" s="542"/>
      <c r="I45" s="542"/>
    </row>
    <row r="46" spans="1:13" x14ac:dyDescent="0.25">
      <c r="E46" s="542"/>
      <c r="F46" s="542"/>
      <c r="I46" s="542"/>
    </row>
    <row r="47" spans="1:13" ht="13" x14ac:dyDescent="0.3">
      <c r="A47" s="415" t="s">
        <v>61</v>
      </c>
      <c r="B47" s="415"/>
      <c r="C47" s="563" t="str">
        <f t="shared" ref="C47:M47" si="1">C$25</f>
        <v>I norm [A]</v>
      </c>
      <c r="D47" s="563" t="str">
        <f t="shared" si="1"/>
        <v>I alarm [A]</v>
      </c>
      <c r="E47" s="563" t="str">
        <f t="shared" si="1"/>
        <v>U [V]</v>
      </c>
      <c r="F47" s="563" t="str">
        <f t="shared" si="1"/>
        <v>n [%]</v>
      </c>
      <c r="G47" s="563" t="str">
        <f t="shared" si="1"/>
        <v>P norm [W]</v>
      </c>
      <c r="H47" s="563" t="str">
        <f t="shared" si="1"/>
        <v>P alarm [W]</v>
      </c>
      <c r="I47" s="563" t="str">
        <f t="shared" si="1"/>
        <v>Quant. [pcs]</v>
      </c>
      <c r="J47" s="563" t="str">
        <f t="shared" si="1"/>
        <v>I norm [A]</v>
      </c>
      <c r="K47" s="563" t="str">
        <f t="shared" si="1"/>
        <v>I alarm [A]</v>
      </c>
      <c r="L47" s="563" t="str">
        <f t="shared" si="1"/>
        <v>P norm [W]</v>
      </c>
      <c r="M47" s="563" t="str">
        <f t="shared" si="1"/>
        <v>P alarm [W]</v>
      </c>
    </row>
    <row r="48" spans="1:13" x14ac:dyDescent="0.25">
      <c r="A48" s="350" t="s">
        <v>167</v>
      </c>
      <c r="C48" s="572">
        <f>FC360_Panel!F104</f>
        <v>0</v>
      </c>
      <c r="D48" s="572">
        <f>FC360_Panel!H104</f>
        <v>0</v>
      </c>
      <c r="E48" s="542">
        <v>24</v>
      </c>
      <c r="F48" s="573">
        <f>IF(21&lt;E48,IF(E48&lt;30,100%,80%),80%)</f>
        <v>1</v>
      </c>
      <c r="G48" s="574">
        <f>C48*E48/F48</f>
        <v>0</v>
      </c>
      <c r="H48" s="574">
        <f>D48*E48/F48</f>
        <v>0</v>
      </c>
      <c r="I48" s="546">
        <f>IF(OR($C$109=1,$C$109=2,$C$109=3,$C$109=4),1,0)</f>
        <v>1</v>
      </c>
      <c r="J48" s="580">
        <f>C48*I48</f>
        <v>0</v>
      </c>
      <c r="K48" s="580">
        <f>D48*I48</f>
        <v>0</v>
      </c>
      <c r="L48" s="574">
        <f>G48*I48</f>
        <v>0</v>
      </c>
      <c r="M48" s="574">
        <f>H48*I48</f>
        <v>0</v>
      </c>
    </row>
    <row r="49" spans="1:13" x14ac:dyDescent="0.25">
      <c r="A49" s="351" t="s">
        <v>168</v>
      </c>
      <c r="B49" s="355"/>
      <c r="C49" s="572">
        <f>FC360_Panel!F105</f>
        <v>0</v>
      </c>
      <c r="D49" s="572">
        <f>FC360_Panel!H105</f>
        <v>0</v>
      </c>
      <c r="E49" s="542">
        <v>24</v>
      </c>
      <c r="F49" s="573">
        <f>IF(21&lt;E49,IF(E49&lt;30,100%,80%),80%)</f>
        <v>1</v>
      </c>
      <c r="G49" s="574">
        <f>C49*E49/F49</f>
        <v>0</v>
      </c>
      <c r="H49" s="574">
        <f>D49*E49/F49</f>
        <v>0</v>
      </c>
      <c r="I49" s="542">
        <f>$I$48</f>
        <v>1</v>
      </c>
      <c r="J49" s="580">
        <f>C49*I49</f>
        <v>0</v>
      </c>
      <c r="K49" s="580">
        <f>D49*I49</f>
        <v>0</v>
      </c>
      <c r="L49" s="574">
        <f>G49*I49</f>
        <v>0</v>
      </c>
      <c r="M49" s="574">
        <f>H49*I49</f>
        <v>0</v>
      </c>
    </row>
    <row r="50" spans="1:13" x14ac:dyDescent="0.25">
      <c r="E50" s="542"/>
      <c r="F50" s="542"/>
    </row>
    <row r="51" spans="1:13" x14ac:dyDescent="0.25">
      <c r="E51" s="542"/>
      <c r="F51" s="542"/>
    </row>
    <row r="52" spans="1:13" ht="13" x14ac:dyDescent="0.3">
      <c r="A52" s="581" t="s">
        <v>422</v>
      </c>
      <c r="B52" s="581"/>
      <c r="C52" s="563" t="str">
        <f t="shared" ref="C52:M52" si="2">C$25</f>
        <v>I norm [A]</v>
      </c>
      <c r="D52" s="563" t="str">
        <f t="shared" si="2"/>
        <v>I alarm [A]</v>
      </c>
      <c r="E52" s="563" t="str">
        <f t="shared" si="2"/>
        <v>U [V]</v>
      </c>
      <c r="F52" s="563" t="str">
        <f t="shared" si="2"/>
        <v>n [%]</v>
      </c>
      <c r="G52" s="563" t="str">
        <f t="shared" si="2"/>
        <v>P norm [W]</v>
      </c>
      <c r="H52" s="563" t="str">
        <f t="shared" si="2"/>
        <v>P alarm [W]</v>
      </c>
      <c r="I52" s="563" t="str">
        <f t="shared" si="2"/>
        <v>Quant. [pcs]</v>
      </c>
      <c r="J52" s="563" t="str">
        <f t="shared" si="2"/>
        <v>I norm [A]</v>
      </c>
      <c r="K52" s="563" t="str">
        <f t="shared" si="2"/>
        <v>I alarm [A]</v>
      </c>
      <c r="L52" s="563" t="str">
        <f t="shared" si="2"/>
        <v>P norm [W]</v>
      </c>
      <c r="M52" s="563" t="str">
        <f t="shared" si="2"/>
        <v>P alarm [W]</v>
      </c>
    </row>
    <row r="53" spans="1:13" x14ac:dyDescent="0.25">
      <c r="A53" s="350" t="s">
        <v>423</v>
      </c>
      <c r="C53" s="572">
        <f>FC360_Panel!F108</f>
        <v>0</v>
      </c>
      <c r="D53" s="572">
        <f>FC360_Panel!H108</f>
        <v>0</v>
      </c>
      <c r="E53" s="542">
        <v>24</v>
      </c>
      <c r="F53" s="573">
        <f t="shared" ref="F53:F58" si="3">IF(21&lt;E53,IF(E53&lt;30,100%,80%),80%)</f>
        <v>1</v>
      </c>
      <c r="G53" s="574">
        <f t="shared" ref="G53:G58" si="4">C53*E53/F53</f>
        <v>0</v>
      </c>
      <c r="H53" s="574">
        <f t="shared" ref="H53:H58" si="5">D53*E53/F53</f>
        <v>0</v>
      </c>
      <c r="I53" s="546">
        <f>IF(OR($C$109=1,$C$109=2,$C$109=3,$C$109=4),1,0)</f>
        <v>1</v>
      </c>
      <c r="J53" s="580">
        <f t="shared" ref="J53:J58" si="6">C53*I53</f>
        <v>0</v>
      </c>
      <c r="K53" s="580">
        <f t="shared" ref="K53:K58" si="7">D53*I53</f>
        <v>0</v>
      </c>
      <c r="L53" s="574">
        <f t="shared" ref="L53:L58" si="8">G53*I53</f>
        <v>0</v>
      </c>
      <c r="M53" s="574">
        <f t="shared" ref="M53:M58" si="9">H53*I53</f>
        <v>0</v>
      </c>
    </row>
    <row r="54" spans="1:13" x14ac:dyDescent="0.25">
      <c r="A54" s="350" t="s">
        <v>169</v>
      </c>
      <c r="C54" s="572">
        <f>FC360_Panel!F109</f>
        <v>0</v>
      </c>
      <c r="D54" s="572">
        <f>FC360_Panel!H109</f>
        <v>0</v>
      </c>
      <c r="E54" s="542">
        <v>24</v>
      </c>
      <c r="F54" s="573">
        <f t="shared" si="3"/>
        <v>1</v>
      </c>
      <c r="G54" s="574">
        <f t="shared" si="4"/>
        <v>0</v>
      </c>
      <c r="H54" s="574">
        <f t="shared" si="5"/>
        <v>0</v>
      </c>
      <c r="I54" s="542">
        <f>$I$53</f>
        <v>1</v>
      </c>
      <c r="J54" s="580">
        <f t="shared" si="6"/>
        <v>0</v>
      </c>
      <c r="K54" s="580">
        <f t="shared" si="7"/>
        <v>0</v>
      </c>
      <c r="L54" s="574">
        <f t="shared" si="8"/>
        <v>0</v>
      </c>
      <c r="M54" s="574">
        <f t="shared" si="9"/>
        <v>0</v>
      </c>
    </row>
    <row r="55" spans="1:13" x14ac:dyDescent="0.25">
      <c r="A55" s="351" t="s">
        <v>424</v>
      </c>
      <c r="B55" s="355"/>
      <c r="C55" s="572">
        <f>FC360_Panel!F110</f>
        <v>0</v>
      </c>
      <c r="D55" s="572">
        <f>FC360_Panel!H110</f>
        <v>0</v>
      </c>
      <c r="E55" s="542">
        <v>24</v>
      </c>
      <c r="F55" s="573">
        <f t="shared" si="3"/>
        <v>1</v>
      </c>
      <c r="G55" s="574">
        <f t="shared" si="4"/>
        <v>0</v>
      </c>
      <c r="H55" s="574">
        <f t="shared" si="5"/>
        <v>0</v>
      </c>
      <c r="I55" s="542">
        <f>$I$53</f>
        <v>1</v>
      </c>
      <c r="J55" s="580">
        <f t="shared" si="6"/>
        <v>0</v>
      </c>
      <c r="K55" s="580">
        <f t="shared" si="7"/>
        <v>0</v>
      </c>
      <c r="L55" s="574">
        <f t="shared" si="8"/>
        <v>0</v>
      </c>
      <c r="M55" s="574">
        <f t="shared" si="9"/>
        <v>0</v>
      </c>
    </row>
    <row r="56" spans="1:13" x14ac:dyDescent="0.25">
      <c r="A56" s="554" t="s">
        <v>171</v>
      </c>
      <c r="B56" s="355"/>
      <c r="C56" s="572">
        <f>FC360_Panel!F111</f>
        <v>0</v>
      </c>
      <c r="D56" s="572">
        <f>FC360_Panel!H111</f>
        <v>0</v>
      </c>
      <c r="E56" s="542">
        <v>24</v>
      </c>
      <c r="F56" s="573">
        <f t="shared" si="3"/>
        <v>1</v>
      </c>
      <c r="G56" s="574">
        <f t="shared" si="4"/>
        <v>0</v>
      </c>
      <c r="H56" s="574">
        <f t="shared" si="5"/>
        <v>0</v>
      </c>
      <c r="I56" s="542">
        <f>$I$53</f>
        <v>1</v>
      </c>
      <c r="J56" s="580">
        <f t="shared" si="6"/>
        <v>0</v>
      </c>
      <c r="K56" s="580">
        <f t="shared" si="7"/>
        <v>0</v>
      </c>
      <c r="L56" s="574">
        <f t="shared" si="8"/>
        <v>0</v>
      </c>
      <c r="M56" s="574">
        <f t="shared" si="9"/>
        <v>0</v>
      </c>
    </row>
    <row r="57" spans="1:13" x14ac:dyDescent="0.25">
      <c r="A57" s="554" t="s">
        <v>172</v>
      </c>
      <c r="B57" s="355"/>
      <c r="C57" s="572">
        <f>FC360_Panel!F112</f>
        <v>0</v>
      </c>
      <c r="D57" s="572">
        <f>FC360_Panel!H112</f>
        <v>0</v>
      </c>
      <c r="E57" s="542">
        <v>24</v>
      </c>
      <c r="F57" s="573">
        <f t="shared" si="3"/>
        <v>1</v>
      </c>
      <c r="G57" s="574">
        <f t="shared" si="4"/>
        <v>0</v>
      </c>
      <c r="H57" s="574">
        <f t="shared" si="5"/>
        <v>0</v>
      </c>
      <c r="I57" s="542">
        <f>$I$53</f>
        <v>1</v>
      </c>
      <c r="J57" s="580">
        <f t="shared" si="6"/>
        <v>0</v>
      </c>
      <c r="K57" s="580">
        <f t="shared" si="7"/>
        <v>0</v>
      </c>
      <c r="L57" s="574">
        <f t="shared" si="8"/>
        <v>0</v>
      </c>
      <c r="M57" s="574">
        <f t="shared" si="9"/>
        <v>0</v>
      </c>
    </row>
    <row r="58" spans="1:13" x14ac:dyDescent="0.25">
      <c r="A58" s="554" t="s">
        <v>372</v>
      </c>
      <c r="B58" s="355"/>
      <c r="C58" s="572">
        <f>FC360_Panel!F113</f>
        <v>0</v>
      </c>
      <c r="D58" s="572">
        <f>FC360_Panel!H113</f>
        <v>0</v>
      </c>
      <c r="E58" s="542">
        <v>24</v>
      </c>
      <c r="F58" s="573">
        <f t="shared" si="3"/>
        <v>1</v>
      </c>
      <c r="G58" s="574">
        <f t="shared" si="4"/>
        <v>0</v>
      </c>
      <c r="H58" s="574">
        <f t="shared" si="5"/>
        <v>0</v>
      </c>
      <c r="I58" s="542">
        <f>$I$53</f>
        <v>1</v>
      </c>
      <c r="J58" s="580">
        <f t="shared" si="6"/>
        <v>0</v>
      </c>
      <c r="K58" s="580">
        <f t="shared" si="7"/>
        <v>0</v>
      </c>
      <c r="L58" s="574">
        <f t="shared" si="8"/>
        <v>0</v>
      </c>
      <c r="M58" s="574">
        <f t="shared" si="9"/>
        <v>0</v>
      </c>
    </row>
    <row r="59" spans="1:13" x14ac:dyDescent="0.25">
      <c r="E59" s="542"/>
      <c r="F59" s="542"/>
    </row>
    <row r="60" spans="1:13" x14ac:dyDescent="0.25">
      <c r="E60" s="542"/>
      <c r="F60" s="542"/>
    </row>
    <row r="61" spans="1:13" ht="13" x14ac:dyDescent="0.3">
      <c r="A61" s="582" t="s">
        <v>173</v>
      </c>
      <c r="B61" s="415"/>
      <c r="C61" s="563" t="str">
        <f t="shared" ref="C61:M61" si="10">C$25</f>
        <v>I norm [A]</v>
      </c>
      <c r="D61" s="563" t="str">
        <f t="shared" si="10"/>
        <v>I alarm [A]</v>
      </c>
      <c r="E61" s="563" t="str">
        <f t="shared" si="10"/>
        <v>U [V]</v>
      </c>
      <c r="F61" s="563" t="str">
        <f t="shared" si="10"/>
        <v>n [%]</v>
      </c>
      <c r="G61" s="563" t="str">
        <f t="shared" si="10"/>
        <v>P norm [W]</v>
      </c>
      <c r="H61" s="563" t="str">
        <f t="shared" si="10"/>
        <v>P alarm [W]</v>
      </c>
      <c r="I61" s="563" t="str">
        <f t="shared" si="10"/>
        <v>Quant. [pcs]</v>
      </c>
      <c r="J61" s="563" t="str">
        <f t="shared" si="10"/>
        <v>I norm [A]</v>
      </c>
      <c r="K61" s="563" t="str">
        <f t="shared" si="10"/>
        <v>I alarm [A]</v>
      </c>
      <c r="L61" s="563" t="str">
        <f t="shared" si="10"/>
        <v>P norm [W]</v>
      </c>
      <c r="M61" s="563" t="str">
        <f t="shared" si="10"/>
        <v>P alarm [W]</v>
      </c>
    </row>
    <row r="62" spans="1:13" x14ac:dyDescent="0.25">
      <c r="A62" s="554" t="s">
        <v>63</v>
      </c>
      <c r="C62" s="572">
        <f>FC360_Panel!F116</f>
        <v>0</v>
      </c>
      <c r="D62" s="572">
        <f>FC360_Panel!H116</f>
        <v>0</v>
      </c>
      <c r="E62" s="542">
        <v>24</v>
      </c>
      <c r="F62" s="573">
        <f t="shared" ref="F62:F67" si="11">IF(21&lt;E62,IF(E62&lt;30,100%,80%),80%)</f>
        <v>1</v>
      </c>
      <c r="G62" s="574">
        <f t="shared" ref="G62:G67" si="12">C62*E62/F62</f>
        <v>0</v>
      </c>
      <c r="H62" s="574">
        <f t="shared" ref="H62:H67" si="13">D62*E62/F62</f>
        <v>0</v>
      </c>
      <c r="I62" s="546">
        <f>IF(OR($C$109=2,$C$109=3,$C$109=4),1,0)</f>
        <v>0</v>
      </c>
      <c r="J62" s="580">
        <f t="shared" ref="J62:J67" si="14">C62*I62</f>
        <v>0</v>
      </c>
      <c r="K62" s="580">
        <f t="shared" ref="K62:K67" si="15">D62*I62</f>
        <v>0</v>
      </c>
      <c r="L62" s="574">
        <f t="shared" ref="L62:L67" si="16">G62*I62</f>
        <v>0</v>
      </c>
      <c r="M62" s="574">
        <f t="shared" ref="M62:M67" si="17">H62*I62</f>
        <v>0</v>
      </c>
    </row>
    <row r="63" spans="1:13" x14ac:dyDescent="0.25">
      <c r="A63" s="551" t="s">
        <v>169</v>
      </c>
      <c r="C63" s="572">
        <f>FC360_Panel!F117</f>
        <v>0</v>
      </c>
      <c r="D63" s="572">
        <f>FC360_Panel!H117</f>
        <v>0</v>
      </c>
      <c r="E63" s="542">
        <v>24</v>
      </c>
      <c r="F63" s="573">
        <f t="shared" si="11"/>
        <v>1</v>
      </c>
      <c r="G63" s="574">
        <f t="shared" si="12"/>
        <v>0</v>
      </c>
      <c r="H63" s="574">
        <f t="shared" si="13"/>
        <v>0</v>
      </c>
      <c r="I63" s="542">
        <f>$I$62</f>
        <v>0</v>
      </c>
      <c r="J63" s="580">
        <f t="shared" si="14"/>
        <v>0</v>
      </c>
      <c r="K63" s="580">
        <f t="shared" si="15"/>
        <v>0</v>
      </c>
      <c r="L63" s="574">
        <f t="shared" si="16"/>
        <v>0</v>
      </c>
      <c r="M63" s="574">
        <f t="shared" si="17"/>
        <v>0</v>
      </c>
    </row>
    <row r="64" spans="1:13" x14ac:dyDescent="0.25">
      <c r="A64" s="554" t="s">
        <v>170</v>
      </c>
      <c r="B64" s="355"/>
      <c r="C64" s="572">
        <f>FC360_Panel!F118</f>
        <v>0</v>
      </c>
      <c r="D64" s="572">
        <f>FC360_Panel!H118</f>
        <v>0</v>
      </c>
      <c r="E64" s="542">
        <v>24</v>
      </c>
      <c r="F64" s="573">
        <f t="shared" si="11"/>
        <v>1</v>
      </c>
      <c r="G64" s="574">
        <f t="shared" si="12"/>
        <v>0</v>
      </c>
      <c r="H64" s="574">
        <f t="shared" si="13"/>
        <v>0</v>
      </c>
      <c r="I64" s="542">
        <f>$I$62</f>
        <v>0</v>
      </c>
      <c r="J64" s="580">
        <f t="shared" si="14"/>
        <v>0</v>
      </c>
      <c r="K64" s="580">
        <f t="shared" si="15"/>
        <v>0</v>
      </c>
      <c r="L64" s="574">
        <f t="shared" si="16"/>
        <v>0</v>
      </c>
      <c r="M64" s="574">
        <f t="shared" si="17"/>
        <v>0</v>
      </c>
    </row>
    <row r="65" spans="1:16" x14ac:dyDescent="0.25">
      <c r="A65" s="554" t="s">
        <v>171</v>
      </c>
      <c r="B65" s="355"/>
      <c r="C65" s="572">
        <f>FC360_Panel!F119</f>
        <v>0</v>
      </c>
      <c r="D65" s="572">
        <f>FC360_Panel!H119</f>
        <v>0</v>
      </c>
      <c r="E65" s="542">
        <v>24</v>
      </c>
      <c r="F65" s="573">
        <f t="shared" si="11"/>
        <v>1</v>
      </c>
      <c r="G65" s="574">
        <f t="shared" si="12"/>
        <v>0</v>
      </c>
      <c r="H65" s="574">
        <f t="shared" si="13"/>
        <v>0</v>
      </c>
      <c r="I65" s="542">
        <f>$I$62</f>
        <v>0</v>
      </c>
      <c r="J65" s="580">
        <f t="shared" si="14"/>
        <v>0</v>
      </c>
      <c r="K65" s="580">
        <f t="shared" si="15"/>
        <v>0</v>
      </c>
      <c r="L65" s="574">
        <f t="shared" si="16"/>
        <v>0</v>
      </c>
      <c r="M65" s="574">
        <f t="shared" si="17"/>
        <v>0</v>
      </c>
    </row>
    <row r="66" spans="1:16" x14ac:dyDescent="0.25">
      <c r="A66" s="554" t="s">
        <v>172</v>
      </c>
      <c r="B66" s="355"/>
      <c r="C66" s="572">
        <f>FC360_Panel!F120</f>
        <v>0</v>
      </c>
      <c r="D66" s="572">
        <f>FC360_Panel!H120</f>
        <v>0</v>
      </c>
      <c r="E66" s="542">
        <v>24</v>
      </c>
      <c r="F66" s="573">
        <f t="shared" si="11"/>
        <v>1</v>
      </c>
      <c r="G66" s="574">
        <f t="shared" si="12"/>
        <v>0</v>
      </c>
      <c r="H66" s="574">
        <f t="shared" si="13"/>
        <v>0</v>
      </c>
      <c r="I66" s="542">
        <f>$I$62</f>
        <v>0</v>
      </c>
      <c r="J66" s="580">
        <f t="shared" si="14"/>
        <v>0</v>
      </c>
      <c r="K66" s="580">
        <f t="shared" si="15"/>
        <v>0</v>
      </c>
      <c r="L66" s="574">
        <f t="shared" si="16"/>
        <v>0</v>
      </c>
      <c r="M66" s="574">
        <f t="shared" si="17"/>
        <v>0</v>
      </c>
    </row>
    <row r="67" spans="1:16" x14ac:dyDescent="0.25">
      <c r="A67" s="554" t="s">
        <v>372</v>
      </c>
      <c r="B67" s="355"/>
      <c r="C67" s="572">
        <f>FC360_Panel!F121</f>
        <v>0</v>
      </c>
      <c r="D67" s="572">
        <f>FC360_Panel!H121</f>
        <v>0</v>
      </c>
      <c r="E67" s="542">
        <v>24</v>
      </c>
      <c r="F67" s="573">
        <f t="shared" si="11"/>
        <v>1</v>
      </c>
      <c r="G67" s="574">
        <f t="shared" si="12"/>
        <v>0</v>
      </c>
      <c r="H67" s="574">
        <f t="shared" si="13"/>
        <v>0</v>
      </c>
      <c r="I67" s="542">
        <f>$I$62</f>
        <v>0</v>
      </c>
      <c r="J67" s="580">
        <f t="shared" si="14"/>
        <v>0</v>
      </c>
      <c r="K67" s="580">
        <f t="shared" si="15"/>
        <v>0</v>
      </c>
      <c r="L67" s="574">
        <f t="shared" si="16"/>
        <v>0</v>
      </c>
      <c r="M67" s="574">
        <f t="shared" si="17"/>
        <v>0</v>
      </c>
    </row>
    <row r="68" spans="1:16" ht="13" thickBot="1" x14ac:dyDescent="0.3">
      <c r="E68" s="542"/>
      <c r="F68" s="542"/>
    </row>
    <row r="69" spans="1:16" ht="13.5" thickTop="1" x14ac:dyDescent="0.3">
      <c r="A69" s="480"/>
      <c r="B69" s="480"/>
      <c r="E69" s="542"/>
      <c r="F69" s="542"/>
      <c r="J69" s="563"/>
      <c r="K69" s="564"/>
      <c r="L69" s="575" t="str">
        <f>L$25</f>
        <v>P norm [W]</v>
      </c>
      <c r="M69" s="576" t="str">
        <f>M$25</f>
        <v>P alarm [W]</v>
      </c>
    </row>
    <row r="70" spans="1:16" ht="13" thickBot="1" x14ac:dyDescent="0.3">
      <c r="A70" s="350" t="s">
        <v>174</v>
      </c>
      <c r="E70" s="542"/>
      <c r="F70" s="542"/>
      <c r="I70" s="400"/>
      <c r="J70" s="400"/>
      <c r="K70" s="400"/>
      <c r="L70" s="583">
        <f>SUM(L$43:L$67)</f>
        <v>0</v>
      </c>
      <c r="M70" s="584">
        <f>SUM(M$43:M$67)</f>
        <v>0</v>
      </c>
    </row>
    <row r="71" spans="1:16" ht="13" thickTop="1" x14ac:dyDescent="0.25">
      <c r="C71" s="423"/>
      <c r="D71" s="423"/>
      <c r="E71" s="542"/>
      <c r="F71" s="585"/>
      <c r="G71" s="423"/>
      <c r="H71" s="423"/>
      <c r="I71" s="577"/>
      <c r="J71" s="423"/>
      <c r="K71" s="423"/>
      <c r="L71" s="423"/>
      <c r="M71" s="423"/>
    </row>
    <row r="72" spans="1:16" ht="13" x14ac:dyDescent="0.3">
      <c r="A72" s="567" t="s">
        <v>69</v>
      </c>
      <c r="B72" s="568"/>
      <c r="C72" s="569"/>
      <c r="D72" s="570"/>
      <c r="E72" s="569"/>
      <c r="F72" s="569"/>
      <c r="G72" s="569"/>
      <c r="H72" s="569"/>
      <c r="I72" s="571"/>
      <c r="J72" s="569"/>
      <c r="K72" s="570"/>
      <c r="L72" s="569"/>
      <c r="M72" s="569"/>
    </row>
    <row r="73" spans="1:16" ht="13" x14ac:dyDescent="0.3">
      <c r="A73" s="581" t="s">
        <v>70</v>
      </c>
      <c r="B73" s="581"/>
      <c r="C73" s="563" t="str">
        <f t="shared" ref="C73:M73" si="18">C$25</f>
        <v>I norm [A]</v>
      </c>
      <c r="D73" s="563" t="str">
        <f t="shared" si="18"/>
        <v>I alarm [A]</v>
      </c>
      <c r="E73" s="563" t="str">
        <f t="shared" si="18"/>
        <v>U [V]</v>
      </c>
      <c r="F73" s="563" t="str">
        <f t="shared" si="18"/>
        <v>n [%]</v>
      </c>
      <c r="G73" s="563" t="str">
        <f t="shared" si="18"/>
        <v>P norm [W]</v>
      </c>
      <c r="H73" s="563" t="str">
        <f t="shared" si="18"/>
        <v>P alarm [W]</v>
      </c>
      <c r="I73" s="563" t="str">
        <f t="shared" si="18"/>
        <v>Quant. [pcs]</v>
      </c>
      <c r="J73" s="563" t="str">
        <f t="shared" si="18"/>
        <v>I norm [A]</v>
      </c>
      <c r="K73" s="563" t="str">
        <f t="shared" si="18"/>
        <v>I alarm [A]</v>
      </c>
      <c r="L73" s="563" t="str">
        <f t="shared" si="18"/>
        <v>P norm [W]</v>
      </c>
      <c r="M73" s="563" t="str">
        <f t="shared" si="18"/>
        <v>P alarm [W]</v>
      </c>
    </row>
    <row r="74" spans="1:16" x14ac:dyDescent="0.25">
      <c r="A74" s="480" t="s">
        <v>175</v>
      </c>
      <c r="B74" s="480" t="s">
        <v>176</v>
      </c>
      <c r="C74" s="586">
        <v>0.04</v>
      </c>
      <c r="D74" s="586">
        <v>0.04</v>
      </c>
      <c r="E74" s="542">
        <v>24</v>
      </c>
      <c r="F74" s="573">
        <f>IF(21&lt;E74,IF(E74&lt;30,100%,80%),80%)</f>
        <v>1</v>
      </c>
      <c r="G74" s="574">
        <f>C74*E74/F74</f>
        <v>0.96</v>
      </c>
      <c r="H74" s="574">
        <f>D74*E74/F74</f>
        <v>0.96</v>
      </c>
      <c r="I74" s="587">
        <f>IF($C$109=1,0,IF(FC360_Panel!D132&gt;=1,1,0))</f>
        <v>0</v>
      </c>
      <c r="J74" s="400"/>
      <c r="K74" s="400"/>
      <c r="L74" s="574">
        <f>I74*$G74</f>
        <v>0</v>
      </c>
      <c r="M74" s="574">
        <f>I74*$H74</f>
        <v>0</v>
      </c>
    </row>
    <row r="75" spans="1:16" x14ac:dyDescent="0.25">
      <c r="A75" s="480" t="s">
        <v>177</v>
      </c>
      <c r="B75" s="480" t="s">
        <v>176</v>
      </c>
      <c r="C75" s="586">
        <v>2.5000000000000001E-2</v>
      </c>
      <c r="D75" s="586">
        <v>2.5000000000000001E-2</v>
      </c>
      <c r="E75" s="542">
        <v>24</v>
      </c>
      <c r="F75" s="573">
        <f>IF(21&lt;E75,IF(E75&lt;30,100%,80%),80%)</f>
        <v>1</v>
      </c>
      <c r="G75" s="574">
        <f>C75*E75/F75</f>
        <v>0.60000000000000009</v>
      </c>
      <c r="H75" s="574">
        <f>D75*E75/F75</f>
        <v>0.60000000000000009</v>
      </c>
      <c r="I75" s="587">
        <f>IF($C$109=1,0,IF(FC360_Panel!D132&gt;=2,1,0))</f>
        <v>0</v>
      </c>
      <c r="J75" s="400"/>
      <c r="K75" s="400"/>
      <c r="L75" s="574">
        <f>I75*$G75</f>
        <v>0</v>
      </c>
      <c r="M75" s="574">
        <f>I75*$H75</f>
        <v>0</v>
      </c>
    </row>
    <row r="76" spans="1:16" x14ac:dyDescent="0.25">
      <c r="A76" s="480" t="s">
        <v>74</v>
      </c>
      <c r="B76" s="480" t="s">
        <v>178</v>
      </c>
      <c r="C76" s="586">
        <v>4.4999999999999998E-2</v>
      </c>
      <c r="D76" s="586">
        <v>4.4999999999999998E-2</v>
      </c>
      <c r="E76" s="542">
        <v>24</v>
      </c>
      <c r="F76" s="573">
        <f>IF(21&lt;E76,IF(E76&lt;30,100%,80%),80%)</f>
        <v>1</v>
      </c>
      <c r="G76" s="574">
        <f>C76*E76/F76</f>
        <v>1.08</v>
      </c>
      <c r="H76" s="574">
        <f>D76*E76/F76</f>
        <v>1.08</v>
      </c>
      <c r="I76" s="587">
        <f>IF($C$109=1,0,IF(FC360_Panel!D133&gt;=1,1,0))</f>
        <v>0</v>
      </c>
      <c r="J76" s="400"/>
      <c r="K76" s="400"/>
      <c r="L76" s="574">
        <f>I76*$G76</f>
        <v>0</v>
      </c>
      <c r="M76" s="574">
        <f>I76*$H76</f>
        <v>0</v>
      </c>
    </row>
    <row r="77" spans="1:16" x14ac:dyDescent="0.25">
      <c r="A77" s="480" t="s">
        <v>179</v>
      </c>
      <c r="B77" s="480"/>
      <c r="C77" s="586">
        <v>0.2</v>
      </c>
      <c r="D77" s="586">
        <v>0.2</v>
      </c>
      <c r="E77" s="542">
        <v>24</v>
      </c>
      <c r="F77" s="573">
        <f>IF(21&lt;E77,IF(E77&lt;30,100%,80%),80%)</f>
        <v>1</v>
      </c>
      <c r="G77" s="574">
        <f>C77*E77/F77</f>
        <v>4.8000000000000007</v>
      </c>
      <c r="H77" s="574">
        <f>D77*E77/F77</f>
        <v>4.8000000000000007</v>
      </c>
      <c r="I77" s="587">
        <f>IF($C$109=1,0,IF(FC360_Panel!D134&gt;=1,1,0))</f>
        <v>0</v>
      </c>
      <c r="J77" s="400"/>
      <c r="K77" s="400"/>
      <c r="L77" s="574">
        <f>I77*$G77</f>
        <v>0</v>
      </c>
      <c r="M77" s="574">
        <f>I77*$H77</f>
        <v>0</v>
      </c>
    </row>
    <row r="78" spans="1:16" x14ac:dyDescent="0.25">
      <c r="C78" s="423"/>
      <c r="D78" s="423"/>
      <c r="E78" s="542"/>
      <c r="F78" s="573"/>
      <c r="G78" s="588"/>
      <c r="H78" s="588"/>
      <c r="I78" s="542"/>
      <c r="J78" s="400"/>
      <c r="K78" s="400"/>
      <c r="L78" s="423"/>
      <c r="M78" s="423"/>
    </row>
    <row r="79" spans="1:16" ht="13" x14ac:dyDescent="0.25">
      <c r="A79" s="581" t="s">
        <v>75</v>
      </c>
      <c r="B79" s="480"/>
      <c r="C79" s="589"/>
      <c r="D79" s="589"/>
      <c r="E79" s="542"/>
      <c r="F79" s="573"/>
      <c r="G79" s="588"/>
      <c r="H79" s="588"/>
      <c r="I79" s="590"/>
      <c r="J79" s="400"/>
      <c r="K79" s="400"/>
      <c r="L79" s="423"/>
      <c r="M79" s="423"/>
    </row>
    <row r="80" spans="1:16" x14ac:dyDescent="0.25">
      <c r="A80" s="480" t="s">
        <v>76</v>
      </c>
      <c r="B80" s="480"/>
      <c r="C80" s="586">
        <v>1.4999999999999999E-2</v>
      </c>
      <c r="D80" s="586">
        <v>1.4999999999999999E-2</v>
      </c>
      <c r="E80" s="542">
        <v>24</v>
      </c>
      <c r="F80" s="573">
        <f>IF(21&lt;E80,IF(E80&lt;30,100%,80%),80%)</f>
        <v>1</v>
      </c>
      <c r="G80" s="574">
        <f>C80*E80/F80</f>
        <v>0.36</v>
      </c>
      <c r="H80" s="574">
        <f>D80*E80/F80</f>
        <v>0.36</v>
      </c>
      <c r="I80" s="591">
        <f>IF(FC360_Panel!D137="YES",1,0)</f>
        <v>0</v>
      </c>
      <c r="J80" s="400"/>
      <c r="K80" s="400"/>
      <c r="L80" s="574">
        <f>I80*$G80</f>
        <v>0</v>
      </c>
      <c r="M80" s="574">
        <f>I80*$H80</f>
        <v>0</v>
      </c>
      <c r="O80" s="592" t="s">
        <v>432</v>
      </c>
      <c r="P80" s="592" t="s">
        <v>433</v>
      </c>
    </row>
    <row r="81" spans="1:13" x14ac:dyDescent="0.25">
      <c r="A81" s="480" t="s">
        <v>501</v>
      </c>
      <c r="B81" s="480" t="s">
        <v>502</v>
      </c>
      <c r="C81" s="586">
        <v>0</v>
      </c>
      <c r="D81" s="586">
        <v>0</v>
      </c>
      <c r="E81" s="542">
        <v>0</v>
      </c>
      <c r="F81" s="573">
        <v>0</v>
      </c>
      <c r="G81" s="574">
        <v>0</v>
      </c>
      <c r="H81" s="574">
        <v>0</v>
      </c>
      <c r="I81" s="591">
        <v>0</v>
      </c>
      <c r="J81" s="400"/>
      <c r="K81" s="400"/>
      <c r="L81" s="574">
        <f>I81*$G81</f>
        <v>0</v>
      </c>
      <c r="M81" s="574">
        <f>I81*$H81</f>
        <v>0</v>
      </c>
    </row>
    <row r="82" spans="1:13" x14ac:dyDescent="0.25">
      <c r="A82" s="480" t="s">
        <v>537</v>
      </c>
      <c r="B82" s="480" t="s">
        <v>77</v>
      </c>
      <c r="C82" s="586">
        <v>6.5000000000000002E-2</v>
      </c>
      <c r="D82" s="586">
        <v>6.5000000000000002E-2</v>
      </c>
      <c r="E82" s="542">
        <v>3.3</v>
      </c>
      <c r="F82" s="573">
        <f>IF(21&lt;E82,IF(E82&lt;30,100%,80%),80%)</f>
        <v>0.8</v>
      </c>
      <c r="G82" s="574">
        <f>C82*E82/F82</f>
        <v>0.268125</v>
      </c>
      <c r="H82" s="574">
        <f>D82*E82/F82</f>
        <v>0.268125</v>
      </c>
      <c r="I82" s="591">
        <f>IF(FC360_Panel!D138="RS232 module (isolated)",1,0)</f>
        <v>0</v>
      </c>
      <c r="J82" s="400"/>
      <c r="K82" s="400"/>
      <c r="L82" s="574">
        <f>I82*$G82</f>
        <v>0</v>
      </c>
      <c r="M82" s="574">
        <f>I82*$H82</f>
        <v>0</v>
      </c>
    </row>
    <row r="83" spans="1:13" x14ac:dyDescent="0.25">
      <c r="A83" s="480" t="s">
        <v>78</v>
      </c>
      <c r="B83" s="480" t="s">
        <v>79</v>
      </c>
      <c r="C83" s="586">
        <v>6.5000000000000002E-2</v>
      </c>
      <c r="D83" s="586">
        <v>6.5000000000000002E-2</v>
      </c>
      <c r="E83" s="542">
        <v>3.3</v>
      </c>
      <c r="F83" s="573">
        <f>IF(21&lt;E83,IF(E83&lt;30,100%,80%),80%)</f>
        <v>0.8</v>
      </c>
      <c r="G83" s="574">
        <f>C83*E83/F83</f>
        <v>0.268125</v>
      </c>
      <c r="H83" s="574">
        <f>D83*E83/F83</f>
        <v>0.268125</v>
      </c>
      <c r="I83" s="591">
        <f>IF(FC360_Panel!D138="RS485 module (isolated)",1,0)</f>
        <v>0</v>
      </c>
      <c r="J83" s="400"/>
      <c r="K83" s="400"/>
      <c r="L83" s="574">
        <f>I83*$G83</f>
        <v>0</v>
      </c>
      <c r="M83" s="574">
        <f>I83*$H83</f>
        <v>0</v>
      </c>
    </row>
    <row r="84" spans="1:13" ht="13" x14ac:dyDescent="0.25">
      <c r="A84" s="581" t="s">
        <v>80</v>
      </c>
      <c r="B84" s="480"/>
      <c r="C84" s="423"/>
      <c r="D84" s="423"/>
      <c r="E84" s="542"/>
      <c r="F84" s="573"/>
      <c r="G84" s="400"/>
      <c r="H84" s="400"/>
      <c r="I84" s="590"/>
      <c r="J84" s="400"/>
      <c r="K84" s="400"/>
      <c r="L84" s="400"/>
      <c r="M84" s="400"/>
    </row>
    <row r="85" spans="1:13" x14ac:dyDescent="0.25">
      <c r="A85" s="480" t="s">
        <v>81</v>
      </c>
      <c r="B85" s="480" t="s">
        <v>91</v>
      </c>
      <c r="C85" s="593">
        <f>FC360_Panel!F142</f>
        <v>0.05</v>
      </c>
      <c r="D85" s="593">
        <f>FC360_Panel!H142</f>
        <v>0.06</v>
      </c>
      <c r="E85" s="542">
        <v>24</v>
      </c>
      <c r="F85" s="573">
        <f>IF(21&lt;E85,IF(E85&lt;30,100%,80%),80%)</f>
        <v>1</v>
      </c>
      <c r="G85" s="574">
        <f>C85*E85/F85</f>
        <v>1.2000000000000002</v>
      </c>
      <c r="H85" s="574">
        <f>D85*E85/F85</f>
        <v>1.44</v>
      </c>
      <c r="I85" s="587">
        <f>IF($C$109=1,0,FC360_Panel!D142)</f>
        <v>0</v>
      </c>
      <c r="J85" s="400"/>
      <c r="K85" s="400"/>
      <c r="L85" s="574">
        <f>I85*$G85</f>
        <v>0</v>
      </c>
      <c r="M85" s="574">
        <f>I85*$H85</f>
        <v>0</v>
      </c>
    </row>
    <row r="86" spans="1:13" x14ac:dyDescent="0.25">
      <c r="C86" s="589"/>
      <c r="D86" s="589"/>
      <c r="E86" s="542"/>
      <c r="F86" s="573"/>
      <c r="G86" s="588"/>
      <c r="H86" s="588"/>
      <c r="I86" s="590"/>
      <c r="J86" s="400"/>
      <c r="K86" s="400"/>
      <c r="L86" s="423"/>
      <c r="M86" s="423"/>
    </row>
    <row r="87" spans="1:13" ht="13" x14ac:dyDescent="0.25">
      <c r="A87" s="581" t="s">
        <v>180</v>
      </c>
      <c r="C87" s="589"/>
      <c r="D87" s="589"/>
      <c r="E87" s="542"/>
      <c r="F87" s="573"/>
      <c r="G87" s="588"/>
      <c r="H87" s="588"/>
      <c r="I87" s="590"/>
      <c r="J87" s="400"/>
      <c r="K87" s="400"/>
      <c r="L87" s="423"/>
      <c r="M87" s="423"/>
    </row>
    <row r="88" spans="1:13" x14ac:dyDescent="0.25">
      <c r="A88" s="480" t="s">
        <v>181</v>
      </c>
      <c r="B88" s="480" t="s">
        <v>182</v>
      </c>
      <c r="C88" s="594">
        <v>5.8000000000000003E-2</v>
      </c>
      <c r="D88" s="594">
        <v>6.2E-2</v>
      </c>
      <c r="E88" s="542">
        <v>24</v>
      </c>
      <c r="F88" s="573">
        <f t="shared" ref="F88:F93" si="19">IF(21&lt;E88,IF(E88&lt;30,100%,80%),80%)</f>
        <v>1</v>
      </c>
      <c r="G88" s="574">
        <f t="shared" ref="G88:G93" si="20">C88*E88/F88</f>
        <v>1.3920000000000001</v>
      </c>
      <c r="H88" s="574">
        <f t="shared" ref="H88:H93" si="21">D88*E88/F88</f>
        <v>1.488</v>
      </c>
      <c r="I88" s="587">
        <f>IF(OR($C$109=1,$C$109=5),0,FC360_Panel!D146)</f>
        <v>0</v>
      </c>
      <c r="J88" s="423">
        <f>I88*C88</f>
        <v>0</v>
      </c>
      <c r="K88" s="423">
        <f>I88*D88</f>
        <v>0</v>
      </c>
      <c r="L88" s="574">
        <f t="shared" ref="L88:L93" si="22">I88*$G88</f>
        <v>0</v>
      </c>
      <c r="M88" s="574">
        <f t="shared" ref="M88:M93" si="23">I88*$H88</f>
        <v>0</v>
      </c>
    </row>
    <row r="89" spans="1:13" x14ac:dyDescent="0.25">
      <c r="A89" s="480" t="s">
        <v>85</v>
      </c>
      <c r="B89" s="480"/>
      <c r="C89" s="595">
        <f>FC360_Panel!F147</f>
        <v>0</v>
      </c>
      <c r="D89" s="595">
        <f>FC360_Panel!H147</f>
        <v>0</v>
      </c>
      <c r="E89" s="542">
        <v>24</v>
      </c>
      <c r="F89" s="573">
        <f t="shared" si="19"/>
        <v>1</v>
      </c>
      <c r="G89" s="574">
        <f t="shared" si="20"/>
        <v>0</v>
      </c>
      <c r="H89" s="574">
        <f t="shared" si="21"/>
        <v>0</v>
      </c>
      <c r="I89" s="590">
        <f>I$88</f>
        <v>0</v>
      </c>
      <c r="J89" s="400"/>
      <c r="K89" s="400"/>
      <c r="L89" s="574">
        <f t="shared" si="22"/>
        <v>0</v>
      </c>
      <c r="M89" s="574">
        <f t="shared" si="23"/>
        <v>0</v>
      </c>
    </row>
    <row r="90" spans="1:13" x14ac:dyDescent="0.25">
      <c r="A90" s="480" t="s">
        <v>353</v>
      </c>
      <c r="B90" s="480"/>
      <c r="C90" s="595">
        <f>FC360_Panel!F148</f>
        <v>0</v>
      </c>
      <c r="D90" s="595">
        <f>FC360_Panel!H148</f>
        <v>0</v>
      </c>
      <c r="E90" s="542">
        <v>24</v>
      </c>
      <c r="F90" s="573">
        <f t="shared" si="19"/>
        <v>1</v>
      </c>
      <c r="G90" s="574">
        <f t="shared" si="20"/>
        <v>0</v>
      </c>
      <c r="H90" s="574">
        <f t="shared" si="21"/>
        <v>0</v>
      </c>
      <c r="I90" s="590">
        <f>I$88</f>
        <v>0</v>
      </c>
      <c r="J90" s="400"/>
      <c r="K90" s="400"/>
      <c r="L90" s="574">
        <f t="shared" si="22"/>
        <v>0</v>
      </c>
      <c r="M90" s="574">
        <f t="shared" si="23"/>
        <v>0</v>
      </c>
    </row>
    <row r="91" spans="1:13" x14ac:dyDescent="0.25">
      <c r="A91" s="480" t="s">
        <v>86</v>
      </c>
      <c r="B91" s="480"/>
      <c r="C91" s="595">
        <f>FC360_Panel!F149</f>
        <v>0</v>
      </c>
      <c r="D91" s="595">
        <f>FC360_Panel!H149</f>
        <v>0</v>
      </c>
      <c r="E91" s="542">
        <v>24</v>
      </c>
      <c r="F91" s="573">
        <f t="shared" si="19"/>
        <v>1</v>
      </c>
      <c r="G91" s="574">
        <f t="shared" si="20"/>
        <v>0</v>
      </c>
      <c r="H91" s="574">
        <f t="shared" si="21"/>
        <v>0</v>
      </c>
      <c r="I91" s="590">
        <f>I$88</f>
        <v>0</v>
      </c>
      <c r="J91" s="400"/>
      <c r="K91" s="400"/>
      <c r="L91" s="574">
        <f t="shared" si="22"/>
        <v>0</v>
      </c>
      <c r="M91" s="574">
        <f t="shared" si="23"/>
        <v>0</v>
      </c>
    </row>
    <row r="92" spans="1:13" x14ac:dyDescent="0.25">
      <c r="A92" s="480" t="s">
        <v>87</v>
      </c>
      <c r="B92" s="480"/>
      <c r="C92" s="595">
        <f>FC360_Panel!F150</f>
        <v>0</v>
      </c>
      <c r="D92" s="595">
        <f>FC360_Panel!H150</f>
        <v>0</v>
      </c>
      <c r="E92" s="542">
        <v>24</v>
      </c>
      <c r="F92" s="573">
        <f t="shared" si="19"/>
        <v>1</v>
      </c>
      <c r="G92" s="574">
        <f t="shared" si="20"/>
        <v>0</v>
      </c>
      <c r="H92" s="574">
        <f t="shared" si="21"/>
        <v>0</v>
      </c>
      <c r="I92" s="590">
        <f>I$88</f>
        <v>0</v>
      </c>
      <c r="J92" s="400"/>
      <c r="K92" s="400"/>
      <c r="L92" s="574">
        <f t="shared" si="22"/>
        <v>0</v>
      </c>
      <c r="M92" s="574">
        <f t="shared" si="23"/>
        <v>0</v>
      </c>
    </row>
    <row r="93" spans="1:13" x14ac:dyDescent="0.25">
      <c r="A93" s="480" t="s">
        <v>88</v>
      </c>
      <c r="B93" s="480"/>
      <c r="C93" s="595">
        <f>FC360_Panel!F151</f>
        <v>0</v>
      </c>
      <c r="D93" s="595">
        <f>FC360_Panel!H151</f>
        <v>0</v>
      </c>
      <c r="E93" s="542">
        <v>24</v>
      </c>
      <c r="F93" s="573">
        <f t="shared" si="19"/>
        <v>1</v>
      </c>
      <c r="G93" s="574">
        <f t="shared" si="20"/>
        <v>0</v>
      </c>
      <c r="H93" s="574">
        <f t="shared" si="21"/>
        <v>0</v>
      </c>
      <c r="I93" s="590">
        <f>I$88</f>
        <v>0</v>
      </c>
      <c r="J93" s="400"/>
      <c r="K93" s="400"/>
      <c r="L93" s="574">
        <f t="shared" si="22"/>
        <v>0</v>
      </c>
      <c r="M93" s="574">
        <f t="shared" si="23"/>
        <v>0</v>
      </c>
    </row>
    <row r="94" spans="1:13" x14ac:dyDescent="0.25">
      <c r="A94" s="480"/>
      <c r="B94" s="480"/>
      <c r="C94" s="596"/>
      <c r="D94" s="596"/>
      <c r="E94" s="542"/>
      <c r="F94" s="573"/>
      <c r="G94" s="400"/>
      <c r="H94" s="400"/>
      <c r="I94" s="590"/>
      <c r="J94" s="400"/>
      <c r="K94" s="400"/>
      <c r="L94" s="400"/>
      <c r="M94" s="400"/>
    </row>
    <row r="95" spans="1:13" x14ac:dyDescent="0.25">
      <c r="A95" s="480"/>
      <c r="B95" s="480"/>
      <c r="C95" s="596"/>
      <c r="D95" s="596"/>
      <c r="E95" s="542"/>
      <c r="F95" s="573"/>
      <c r="G95" s="400"/>
      <c r="H95" s="400"/>
      <c r="I95" s="590"/>
      <c r="J95" s="400"/>
      <c r="K95" s="400"/>
      <c r="L95" s="400"/>
      <c r="M95" s="400"/>
    </row>
    <row r="96" spans="1:13" ht="13" x14ac:dyDescent="0.25">
      <c r="A96" s="581" t="s">
        <v>90</v>
      </c>
      <c r="C96" s="589"/>
      <c r="D96" s="589"/>
      <c r="E96" s="542"/>
      <c r="F96" s="573"/>
      <c r="G96" s="588"/>
      <c r="H96" s="588"/>
      <c r="I96" s="590"/>
      <c r="J96" s="400"/>
      <c r="K96" s="400"/>
      <c r="L96" s="423"/>
      <c r="M96" s="423"/>
    </row>
    <row r="97" spans="1:15" x14ac:dyDescent="0.25">
      <c r="A97" s="350" t="s">
        <v>501</v>
      </c>
      <c r="B97" s="597" t="s">
        <v>502</v>
      </c>
      <c r="C97" s="598">
        <v>0</v>
      </c>
      <c r="D97" s="598">
        <v>0</v>
      </c>
      <c r="E97" s="599">
        <v>0</v>
      </c>
      <c r="F97" s="600">
        <v>0</v>
      </c>
      <c r="G97" s="601">
        <v>0</v>
      </c>
      <c r="H97" s="601">
        <v>0</v>
      </c>
      <c r="I97" s="599">
        <f>IF(FC360_Panel!D156="LED indicators(16 Zone)",1,0)</f>
        <v>0</v>
      </c>
      <c r="J97" s="601"/>
      <c r="K97" s="601"/>
      <c r="L97" s="601">
        <f>I97*$G97</f>
        <v>0</v>
      </c>
      <c r="M97" s="601">
        <f>I97*$H97</f>
        <v>0</v>
      </c>
      <c r="O97" s="602" t="s">
        <v>502</v>
      </c>
    </row>
    <row r="98" spans="1:15" x14ac:dyDescent="0.25">
      <c r="A98" s="350" t="s">
        <v>429</v>
      </c>
      <c r="B98" s="480" t="s">
        <v>551</v>
      </c>
      <c r="C98" s="598">
        <v>4.0000000000000001E-3</v>
      </c>
      <c r="D98" s="598">
        <v>0.06</v>
      </c>
      <c r="E98" s="599">
        <v>24</v>
      </c>
      <c r="F98" s="600">
        <f>IF(21&lt;E98,IF(E98&lt;30,100%,80%),80%)</f>
        <v>1</v>
      </c>
      <c r="G98" s="601">
        <v>0</v>
      </c>
      <c r="H98" s="601">
        <v>0.72</v>
      </c>
      <c r="I98" s="599">
        <f>IF(FC360_Panel!D156="LED indicators(32 Zone)",1,0)</f>
        <v>0</v>
      </c>
      <c r="J98" s="601"/>
      <c r="K98" s="601"/>
      <c r="L98" s="601">
        <f>I98*$G98</f>
        <v>0</v>
      </c>
      <c r="M98" s="601">
        <f>I98*$H98</f>
        <v>0</v>
      </c>
      <c r="O98" s="400" t="s">
        <v>427</v>
      </c>
    </row>
    <row r="99" spans="1:15" ht="12.75" customHeight="1" x14ac:dyDescent="0.25">
      <c r="A99" s="350" t="s">
        <v>425</v>
      </c>
      <c r="B99" s="480" t="s">
        <v>426</v>
      </c>
      <c r="C99" s="598">
        <v>0</v>
      </c>
      <c r="D99" s="598">
        <v>8.9999999999999993E-3</v>
      </c>
      <c r="E99" s="599">
        <v>24</v>
      </c>
      <c r="F99" s="600">
        <f>IF(21&lt;E99,IF(E99&lt;30,100%,80%),80%)</f>
        <v>1</v>
      </c>
      <c r="G99" s="601">
        <f>2*C99*E99/F99</f>
        <v>0</v>
      </c>
      <c r="H99" s="601">
        <f>2*D99*E99/F99</f>
        <v>0.43199999999999994</v>
      </c>
      <c r="I99" s="599">
        <f>IF(FC360_Panel!D156="Evacuation module(NL)",1,0)</f>
        <v>0</v>
      </c>
      <c r="J99" s="601"/>
      <c r="K99" s="601"/>
      <c r="L99" s="601">
        <f>I99*$G99</f>
        <v>0</v>
      </c>
      <c r="M99" s="601">
        <f>I99*$H99</f>
        <v>0</v>
      </c>
      <c r="O99" s="400" t="s">
        <v>428</v>
      </c>
    </row>
    <row r="100" spans="1:15" ht="12.75" customHeight="1" x14ac:dyDescent="0.25">
      <c r="A100" s="581" t="s">
        <v>447</v>
      </c>
      <c r="C100" s="589"/>
      <c r="D100" s="589"/>
      <c r="E100" s="542"/>
      <c r="F100" s="573"/>
      <c r="G100" s="588"/>
      <c r="H100" s="588"/>
      <c r="I100" s="590"/>
      <c r="J100" s="400"/>
      <c r="K100" s="400"/>
      <c r="L100" s="423"/>
      <c r="M100" s="423"/>
    </row>
    <row r="101" spans="1:15" x14ac:dyDescent="0.25">
      <c r="A101" s="480" t="s">
        <v>447</v>
      </c>
      <c r="B101" s="480" t="s">
        <v>448</v>
      </c>
      <c r="C101" s="598">
        <v>1.0999999999999999E-2</v>
      </c>
      <c r="D101" s="598">
        <v>6.3E-2</v>
      </c>
      <c r="E101" s="542">
        <v>24</v>
      </c>
      <c r="F101" s="573">
        <f>IF(21&lt;E101,IF(E101&lt;30,100%,80%),80%)</f>
        <v>1</v>
      </c>
      <c r="G101" s="574">
        <f>C101*E101/F101</f>
        <v>0.26400000000000001</v>
      </c>
      <c r="H101" s="574">
        <f>D101*E101/F101</f>
        <v>1.512</v>
      </c>
      <c r="I101" s="587">
        <f>FC360_Panel!D174*FC360_Panel!D179</f>
        <v>0</v>
      </c>
      <c r="J101" s="423">
        <f>I101*C101</f>
        <v>0</v>
      </c>
      <c r="K101" s="423">
        <f>I101*D101</f>
        <v>0</v>
      </c>
      <c r="L101" s="574">
        <f>I101*$G101</f>
        <v>0</v>
      </c>
      <c r="M101" s="574">
        <f>I101*$H101</f>
        <v>0</v>
      </c>
    </row>
    <row r="102" spans="1:15" x14ac:dyDescent="0.25">
      <c r="A102" s="480" t="s">
        <v>438</v>
      </c>
      <c r="B102" s="480" t="str">
        <f>FC360_Panel!D162</f>
        <v>RT-Fault</v>
      </c>
      <c r="C102" s="603">
        <f>FC360_Panel!F162</f>
        <v>0</v>
      </c>
      <c r="D102" s="603">
        <f xml:space="preserve"> FC360_Panel!H162</f>
        <v>0</v>
      </c>
      <c r="E102" s="542">
        <v>26.1</v>
      </c>
      <c r="F102" s="573">
        <f>IF(21&lt;E102,IF(E102&lt;30,100%,80%),80%)</f>
        <v>1</v>
      </c>
      <c r="G102" s="574">
        <f>C102*E102/F102</f>
        <v>0</v>
      </c>
      <c r="H102" s="574">
        <f>D102*E102/F102</f>
        <v>0</v>
      </c>
      <c r="I102" s="590">
        <v>1</v>
      </c>
      <c r="J102" s="400"/>
      <c r="K102" s="400"/>
      <c r="L102" s="574">
        <f>I102*$G102</f>
        <v>0</v>
      </c>
      <c r="M102" s="574">
        <f>I102*$H102</f>
        <v>0</v>
      </c>
    </row>
    <row r="103" spans="1:15" ht="12.75" customHeight="1" x14ac:dyDescent="0.25">
      <c r="A103" s="480" t="s">
        <v>441</v>
      </c>
      <c r="B103" s="480" t="str">
        <f>FC360_Panel!D163</f>
        <v>RT-Fire</v>
      </c>
      <c r="C103" s="603">
        <f>FC360_Panel!F163</f>
        <v>0</v>
      </c>
      <c r="D103" s="603">
        <f xml:space="preserve"> FC360_Panel!H163</f>
        <v>0</v>
      </c>
      <c r="E103" s="542">
        <v>26.1</v>
      </c>
      <c r="F103" s="573">
        <f>IF(21&lt;E103,IF(E103&lt;30,100%,80%),80%)</f>
        <v>1</v>
      </c>
      <c r="G103" s="574">
        <f>C103*E103/F103</f>
        <v>0</v>
      </c>
      <c r="H103" s="574">
        <f>D103*E103/F103</f>
        <v>0</v>
      </c>
      <c r="I103" s="590">
        <v>1</v>
      </c>
      <c r="J103" s="400"/>
      <c r="K103" s="400"/>
      <c r="L103" s="574">
        <f>I103*$G103</f>
        <v>0</v>
      </c>
      <c r="M103" s="574">
        <f>I103*$H103</f>
        <v>0</v>
      </c>
    </row>
    <row r="104" spans="1:15" ht="12.75" customHeight="1" x14ac:dyDescent="0.25">
      <c r="A104" s="480" t="s">
        <v>442</v>
      </c>
      <c r="B104" s="480" t="str">
        <f>FC360_Panel!D164</f>
        <v>Fire Control</v>
      </c>
      <c r="C104" s="603">
        <f>FC360_Panel!F164</f>
        <v>0</v>
      </c>
      <c r="D104" s="603">
        <f xml:space="preserve"> FC360_Panel!H164</f>
        <v>0</v>
      </c>
      <c r="E104" s="542">
        <v>26.1</v>
      </c>
      <c r="F104" s="573">
        <f>IF(21&lt;E104,IF(E104&lt;30,100%,80%),80%)</f>
        <v>1</v>
      </c>
      <c r="G104" s="574">
        <f>C104*E104/F104</f>
        <v>0</v>
      </c>
      <c r="H104" s="574">
        <f>D104*E104/F104</f>
        <v>0</v>
      </c>
      <c r="I104" s="590">
        <v>1</v>
      </c>
      <c r="J104" s="400"/>
      <c r="K104" s="400"/>
      <c r="L104" s="574">
        <f>I104*$G104</f>
        <v>0</v>
      </c>
      <c r="M104" s="574">
        <f>I104*$H104</f>
        <v>0</v>
      </c>
    </row>
    <row r="105" spans="1:15" ht="16.399999999999999" customHeight="1" thickBot="1" x14ac:dyDescent="0.3">
      <c r="A105" s="480" t="s">
        <v>444</v>
      </c>
      <c r="B105" s="480" t="str">
        <f>FC360_Panel!D165</f>
        <v>Sounder Line</v>
      </c>
      <c r="C105" s="603">
        <f>FC360_Panel!F165</f>
        <v>0</v>
      </c>
      <c r="D105" s="603">
        <f xml:space="preserve"> FC360_Panel!H165</f>
        <v>0</v>
      </c>
      <c r="E105" s="542">
        <v>26.1</v>
      </c>
      <c r="F105" s="573">
        <f>IF(21&lt;E105,IF(E105&lt;30,100%,80%),80%)</f>
        <v>1</v>
      </c>
      <c r="G105" s="574">
        <f>C105*E105/F105</f>
        <v>0</v>
      </c>
      <c r="H105" s="574">
        <f>D105*E105/F105</f>
        <v>0</v>
      </c>
      <c r="I105" s="590">
        <v>1</v>
      </c>
      <c r="J105" s="400"/>
      <c r="K105" s="400"/>
      <c r="L105" s="574">
        <f>I105*$G105</f>
        <v>0</v>
      </c>
      <c r="M105" s="574">
        <f>I105*$H105</f>
        <v>0</v>
      </c>
    </row>
    <row r="106" spans="1:15" ht="13.5" thickTop="1" x14ac:dyDescent="0.3">
      <c r="A106" s="350" t="s">
        <v>183</v>
      </c>
      <c r="E106" s="542"/>
      <c r="F106" s="573"/>
      <c r="I106" s="577"/>
      <c r="J106" s="400"/>
      <c r="K106" s="400"/>
      <c r="L106" s="575" t="str">
        <f>L$25</f>
        <v>P norm [W]</v>
      </c>
      <c r="M106" s="576" t="str">
        <f>M$25</f>
        <v>P alarm [W]</v>
      </c>
      <c r="N106" s="350" t="s">
        <v>862</v>
      </c>
    </row>
    <row r="107" spans="1:15" ht="13" thickBot="1" x14ac:dyDescent="0.3">
      <c r="E107" s="542"/>
      <c r="F107" s="573"/>
      <c r="I107" s="577"/>
      <c r="J107" s="400"/>
      <c r="K107" s="400"/>
      <c r="L107" s="583">
        <f>SUM(L$74:L$105)</f>
        <v>0</v>
      </c>
      <c r="M107" s="584">
        <f>SUM(M$74:M$105)</f>
        <v>0</v>
      </c>
      <c r="N107" s="654">
        <f>SUM(IF(B102="RT-Fault",L102,0),IF(B103="RT-Fault",L103,0),IF(B104="RT-Fault",L104,0),IF(B105="RT-Fault",L105,0))</f>
        <v>0</v>
      </c>
    </row>
    <row r="108" spans="1:15" ht="13.5" thickTop="1" x14ac:dyDescent="0.3">
      <c r="A108" s="567" t="s">
        <v>105</v>
      </c>
      <c r="B108" s="568"/>
      <c r="C108" s="569"/>
      <c r="D108" s="570"/>
      <c r="E108" s="569"/>
      <c r="F108" s="569"/>
      <c r="G108" s="569"/>
      <c r="H108" s="569"/>
      <c r="I108" s="571"/>
      <c r="J108" s="569"/>
      <c r="K108" s="570"/>
      <c r="L108" s="569"/>
      <c r="M108" s="569"/>
    </row>
    <row r="109" spans="1:15" x14ac:dyDescent="0.25">
      <c r="A109" s="350" t="s">
        <v>48</v>
      </c>
      <c r="B109" s="604" t="str" cm="1">
        <f t="array" ref="B109">VLOOKUP(C109,Panel_values!A3:L8,_xlfn.SINGLE(D109)+1,FALSE)</f>
        <v>FC361-ZZ</v>
      </c>
      <c r="C109" s="605">
        <f>FC360_Panel!$E$41</f>
        <v>1</v>
      </c>
      <c r="D109" s="604">
        <f>FC360_Panel!$E$56</f>
        <v>1</v>
      </c>
      <c r="I109" s="542"/>
    </row>
    <row r="110" spans="1:15" x14ac:dyDescent="0.25">
      <c r="A110" s="350" t="s">
        <v>184</v>
      </c>
      <c r="B110" s="606" t="str">
        <f>IF(B109="--","--",VLOOKUP(C109,Panel_values!A58:E63,2,FALSE))</f>
        <v>C-NET</v>
      </c>
      <c r="C110" s="607">
        <f>IF(B110="--","",IF($C$109=1,1,IF($C$109=2,2,IF(OR($C$109=3,$C$109=4),4,0))))</f>
        <v>1</v>
      </c>
      <c r="D110" s="350" t="str">
        <f>IF(B110="--","","loops")</f>
        <v>loops</v>
      </c>
      <c r="E110" s="355"/>
    </row>
    <row r="111" spans="1:15" x14ac:dyDescent="0.25">
      <c r="A111" s="350" t="s">
        <v>185</v>
      </c>
      <c r="B111" s="606" t="str">
        <f>IF(B109="--","--",VLOOKUP(C109,Panel_values!A58:E63,3,FALSE))</f>
        <v>--</v>
      </c>
      <c r="C111" s="607" t="str">
        <f>IF(B111="--","",IF($C$109=2,2,IF($C$109=4,5,0)))</f>
        <v/>
      </c>
      <c r="D111" s="350" t="str">
        <f>IF(B111="--","","slots")</f>
        <v/>
      </c>
      <c r="E111" s="355"/>
    </row>
    <row r="113" spans="1:13" ht="13" x14ac:dyDescent="0.3">
      <c r="A113" s="581" t="s">
        <v>106</v>
      </c>
      <c r="B113" s="581"/>
      <c r="C113" s="563" t="str">
        <f t="shared" ref="C113:M113" si="24">C$25</f>
        <v>I norm [A]</v>
      </c>
      <c r="D113" s="563" t="str">
        <f t="shared" si="24"/>
        <v>I alarm [A]</v>
      </c>
      <c r="E113" s="563" t="str">
        <f t="shared" si="24"/>
        <v>U [V]</v>
      </c>
      <c r="F113" s="563" t="str">
        <f t="shared" si="24"/>
        <v>n [%]</v>
      </c>
      <c r="G113" s="563" t="str">
        <f t="shared" si="24"/>
        <v>P norm [W]</v>
      </c>
      <c r="H113" s="563" t="str">
        <f t="shared" si="24"/>
        <v>P alarm [W]</v>
      </c>
      <c r="I113" s="563" t="str">
        <f t="shared" si="24"/>
        <v>Quant. [pcs]</v>
      </c>
      <c r="J113" s="563" t="str">
        <f t="shared" si="24"/>
        <v>I norm [A]</v>
      </c>
      <c r="K113" s="563" t="str">
        <f t="shared" si="24"/>
        <v>I alarm [A]</v>
      </c>
      <c r="L113" s="563" t="str">
        <f t="shared" si="24"/>
        <v>P norm [W]</v>
      </c>
      <c r="M113" s="563" t="str">
        <f t="shared" si="24"/>
        <v>P alarm [W]</v>
      </c>
    </row>
    <row r="114" spans="1:13" x14ac:dyDescent="0.25">
      <c r="A114" s="365" t="s">
        <v>186</v>
      </c>
      <c r="C114" s="594">
        <v>9.0499999999999997E-2</v>
      </c>
      <c r="D114" s="594">
        <v>0.1105</v>
      </c>
      <c r="E114" s="542">
        <v>24</v>
      </c>
      <c r="F114" s="573">
        <f>IF(21&lt;E114,IF(E114&lt;30,100%,80%),80%)</f>
        <v>1</v>
      </c>
      <c r="G114" s="574">
        <f>C114*E114/F114</f>
        <v>2.1719999999999997</v>
      </c>
      <c r="H114" s="574">
        <f>D114*E114/F114</f>
        <v>2.6520000000000001</v>
      </c>
      <c r="I114" s="590"/>
      <c r="J114" s="400"/>
      <c r="K114" s="400"/>
      <c r="L114" s="423"/>
      <c r="M114" s="423"/>
    </row>
    <row r="115" spans="1:13" ht="13" x14ac:dyDescent="0.3">
      <c r="A115" s="415" t="s">
        <v>187</v>
      </c>
      <c r="B115" s="415" t="s">
        <v>188</v>
      </c>
      <c r="C115" s="596"/>
      <c r="D115" s="596"/>
      <c r="E115" s="562"/>
      <c r="F115" s="608"/>
      <c r="G115" s="609">
        <f>SUM(G114:G114)</f>
        <v>2.1719999999999997</v>
      </c>
      <c r="H115" s="609">
        <f>SUM(H114:H114)</f>
        <v>2.6520000000000001</v>
      </c>
      <c r="I115" s="542">
        <v>1</v>
      </c>
      <c r="J115" s="609"/>
      <c r="K115" s="609"/>
      <c r="L115" s="574">
        <f>I115*G115</f>
        <v>2.1719999999999997</v>
      </c>
      <c r="M115" s="574">
        <f>I115*H115</f>
        <v>2.6520000000000001</v>
      </c>
    </row>
    <row r="116" spans="1:13" x14ac:dyDescent="0.25">
      <c r="F116" s="542"/>
      <c r="I116" s="542"/>
    </row>
    <row r="117" spans="1:13" ht="13" x14ac:dyDescent="0.3">
      <c r="A117" s="365" t="s">
        <v>373</v>
      </c>
      <c r="B117" s="415" t="s">
        <v>374</v>
      </c>
      <c r="C117" s="594">
        <v>0.14000000000000001</v>
      </c>
      <c r="D117" s="594">
        <v>0.14000000000000001</v>
      </c>
      <c r="E117" s="542">
        <v>24</v>
      </c>
      <c r="F117" s="573">
        <f>IF(21&lt;E117,IF(E117&lt;30,100%,80%),80%)</f>
        <v>1</v>
      </c>
      <c r="G117" s="574">
        <f>C117*E117/F117</f>
        <v>3.3600000000000003</v>
      </c>
      <c r="H117" s="574">
        <f>D117*E117/F117</f>
        <v>3.3600000000000003</v>
      </c>
      <c r="I117" s="590"/>
      <c r="J117" s="400"/>
      <c r="K117" s="400"/>
      <c r="L117" s="423"/>
      <c r="M117" s="423"/>
    </row>
    <row r="118" spans="1:13" ht="13" x14ac:dyDescent="0.3">
      <c r="A118" s="365" t="s">
        <v>375</v>
      </c>
      <c r="B118" s="415" t="s">
        <v>374</v>
      </c>
      <c r="C118" s="594">
        <v>0.14000000000000001</v>
      </c>
      <c r="D118" s="594">
        <v>0.14000000000000001</v>
      </c>
      <c r="E118" s="542">
        <v>24</v>
      </c>
      <c r="F118" s="573">
        <f>IF(21&lt;E118,IF(E118&lt;30,100%,80%),80%)</f>
        <v>1</v>
      </c>
      <c r="G118" s="574">
        <f>C118*E118/F118</f>
        <v>3.3600000000000003</v>
      </c>
      <c r="H118" s="574">
        <f>D118*E118/F118</f>
        <v>3.3600000000000003</v>
      </c>
      <c r="I118" s="590"/>
      <c r="J118" s="400"/>
      <c r="K118" s="400"/>
      <c r="L118" s="423"/>
      <c r="M118" s="423"/>
    </row>
    <row r="119" spans="1:13" ht="13" x14ac:dyDescent="0.3">
      <c r="A119" s="365" t="s">
        <v>376</v>
      </c>
      <c r="B119" s="415" t="s">
        <v>377</v>
      </c>
      <c r="C119" s="594">
        <v>0.03</v>
      </c>
      <c r="D119" s="594">
        <v>0.03</v>
      </c>
      <c r="E119" s="542">
        <v>24</v>
      </c>
      <c r="F119" s="573">
        <f>IF(21&lt;E119,IF(E119&lt;30,100%,80%),80%)</f>
        <v>1</v>
      </c>
      <c r="G119" s="574">
        <f>C119*E119/F119</f>
        <v>0.72</v>
      </c>
      <c r="H119" s="574">
        <f>D119*E119/F119</f>
        <v>0.72</v>
      </c>
      <c r="I119" s="590"/>
      <c r="J119" s="400"/>
      <c r="K119" s="400"/>
      <c r="L119" s="423"/>
      <c r="M119" s="423"/>
    </row>
    <row r="120" spans="1:13" ht="13" x14ac:dyDescent="0.3">
      <c r="A120" s="415" t="s">
        <v>542</v>
      </c>
      <c r="B120" s="415"/>
      <c r="C120" s="596"/>
      <c r="D120" s="596"/>
      <c r="E120" s="562"/>
      <c r="F120" s="608"/>
      <c r="G120" s="609">
        <f>SUM(G117:G119)</f>
        <v>7.44</v>
      </c>
      <c r="H120" s="609">
        <f>SUM(H117:H119)</f>
        <v>7.44</v>
      </c>
      <c r="I120" s="546">
        <f>IF($C$109=6,1,0)</f>
        <v>0</v>
      </c>
      <c r="J120" s="609"/>
      <c r="K120" s="609"/>
      <c r="L120" s="574">
        <f>I120*G120</f>
        <v>0</v>
      </c>
      <c r="M120" s="574">
        <f>I120*H120</f>
        <v>0</v>
      </c>
    </row>
    <row r="121" spans="1:13" x14ac:dyDescent="0.25">
      <c r="F121" s="542"/>
      <c r="I121" s="542"/>
    </row>
    <row r="122" spans="1:13" x14ac:dyDescent="0.25">
      <c r="A122" s="351" t="s">
        <v>189</v>
      </c>
      <c r="B122" s="350" t="s">
        <v>91</v>
      </c>
      <c r="C122" s="594">
        <v>4.0000000000000001E-3</v>
      </c>
      <c r="D122" s="594">
        <v>7.0000000000000007E-2</v>
      </c>
      <c r="E122" s="542">
        <v>24</v>
      </c>
      <c r="F122" s="573">
        <f>IF(21&lt;E122,IF(E122&lt;30,100%,80%),80%)</f>
        <v>1</v>
      </c>
      <c r="G122" s="574">
        <f>C122*E122/F122</f>
        <v>9.6000000000000002E-2</v>
      </c>
      <c r="H122" s="574">
        <f>D122*E122/F122</f>
        <v>1.6800000000000002</v>
      </c>
      <c r="I122" s="546" cm="1">
        <f t="array" ref="I122">VLOOKUP(C109,Panel_values!A31:L36,_xlfn.SINGLE(D109)+1,FALSE)</f>
        <v>0</v>
      </c>
      <c r="J122" s="400"/>
      <c r="K122" s="400"/>
      <c r="L122" s="574">
        <f>I122*G122</f>
        <v>0</v>
      </c>
      <c r="M122" s="574">
        <f>I122*H122</f>
        <v>0</v>
      </c>
    </row>
    <row r="123" spans="1:13" x14ac:dyDescent="0.25">
      <c r="A123" s="351" t="s">
        <v>190</v>
      </c>
      <c r="B123" s="350" t="s">
        <v>191</v>
      </c>
      <c r="C123" s="594">
        <v>1.4999999999999999E-2</v>
      </c>
      <c r="D123" s="594">
        <v>0.03</v>
      </c>
      <c r="E123" s="542">
        <v>24</v>
      </c>
      <c r="F123" s="573">
        <f>IF(21&lt;E123,IF(E123&lt;30,100%,80%),80%)</f>
        <v>1</v>
      </c>
      <c r="G123" s="574">
        <f>C123*E123/F123</f>
        <v>0.36</v>
      </c>
      <c r="H123" s="574">
        <f>D123*E123/F123</f>
        <v>0.72</v>
      </c>
      <c r="I123" s="546" cm="1">
        <f t="array" ref="I123">VLOOKUP(C109,Panel_values!A40:L45,_xlfn.SINGLE(D109)+1,FALSE)</f>
        <v>0</v>
      </c>
      <c r="L123" s="574">
        <f>I123*G123</f>
        <v>0</v>
      </c>
      <c r="M123" s="574">
        <f>I123*H123</f>
        <v>0</v>
      </c>
    </row>
    <row r="124" spans="1:13" x14ac:dyDescent="0.25">
      <c r="A124" s="351" t="s">
        <v>192</v>
      </c>
      <c r="B124" s="350" t="s">
        <v>193</v>
      </c>
      <c r="C124" s="594">
        <v>6.0000000000000001E-3</v>
      </c>
      <c r="D124" s="594">
        <v>0.03</v>
      </c>
      <c r="E124" s="542">
        <v>24</v>
      </c>
      <c r="F124" s="573">
        <f>IF(21&lt;E124,IF(E124&lt;30,100%,80%),80%)</f>
        <v>1</v>
      </c>
      <c r="G124" s="574">
        <f>C124*E124/F124</f>
        <v>0.14400000000000002</v>
      </c>
      <c r="H124" s="574">
        <f>D124*E124/F124</f>
        <v>0.72</v>
      </c>
      <c r="I124" s="546" cm="1">
        <f t="array" ref="I124">VLOOKUP(C109,Panel_values!A49:L54,_xlfn.SINGLE(D109)+1,FALSE)</f>
        <v>0</v>
      </c>
      <c r="L124" s="574">
        <f>I124*G124</f>
        <v>0</v>
      </c>
      <c r="M124" s="574">
        <f>I124*H124</f>
        <v>0</v>
      </c>
    </row>
    <row r="125" spans="1:13" x14ac:dyDescent="0.25">
      <c r="C125" s="596"/>
      <c r="D125" s="596"/>
      <c r="F125" s="542"/>
      <c r="G125" s="400"/>
      <c r="H125" s="400"/>
      <c r="I125" s="542"/>
    </row>
    <row r="126" spans="1:13" x14ac:dyDescent="0.25">
      <c r="A126" s="365" t="s">
        <v>194</v>
      </c>
      <c r="C126" s="594">
        <v>2.7000000000000001E-3</v>
      </c>
      <c r="D126" s="594">
        <v>2.7000000000000001E-3</v>
      </c>
      <c r="E126" s="590">
        <v>24</v>
      </c>
      <c r="F126" s="573">
        <f>IF(21&lt;E126,IF(E126&lt;30,100%,80%),80%)</f>
        <v>1</v>
      </c>
      <c r="G126" s="574">
        <f>C126*E126/F126</f>
        <v>6.4799999999999996E-2</v>
      </c>
      <c r="H126" s="574">
        <f>D126*E126/F126</f>
        <v>6.4799999999999996E-2</v>
      </c>
      <c r="I126" s="590"/>
      <c r="J126" s="400"/>
      <c r="K126" s="400"/>
      <c r="L126" s="423"/>
      <c r="M126" s="423"/>
    </row>
    <row r="127" spans="1:13" x14ac:dyDescent="0.25">
      <c r="A127" s="365" t="s">
        <v>398</v>
      </c>
      <c r="C127" s="596"/>
      <c r="D127" s="596"/>
      <c r="E127" s="590"/>
      <c r="F127" s="573"/>
      <c r="G127" s="400"/>
      <c r="H127" s="400"/>
      <c r="I127" s="590"/>
      <c r="J127" s="400"/>
      <c r="K127" s="400"/>
      <c r="L127" s="423"/>
      <c r="M127" s="423"/>
    </row>
    <row r="128" spans="1:13" ht="13" x14ac:dyDescent="0.3">
      <c r="A128" s="415" t="s">
        <v>195</v>
      </c>
      <c r="B128" s="415" t="s">
        <v>334</v>
      </c>
      <c r="C128" s="596"/>
      <c r="D128" s="596"/>
      <c r="E128" s="562"/>
      <c r="F128" s="608"/>
      <c r="G128" s="609">
        <f>SUM(G126:G127)</f>
        <v>6.4799999999999996E-2</v>
      </c>
      <c r="H128" s="609">
        <f>SUM(H126:H127)</f>
        <v>6.4799999999999996E-2</v>
      </c>
      <c r="I128" s="610">
        <f>IF(OR($C$109=1,$C$109=2),1,0)</f>
        <v>1</v>
      </c>
      <c r="J128" s="609"/>
      <c r="K128" s="609"/>
      <c r="L128" s="574">
        <f>I128*G128</f>
        <v>6.4799999999999996E-2</v>
      </c>
      <c r="M128" s="574">
        <f>I128*H128</f>
        <v>6.4799999999999996E-2</v>
      </c>
    </row>
    <row r="129" spans="1:13" x14ac:dyDescent="0.25">
      <c r="C129" s="596"/>
      <c r="D129" s="596"/>
      <c r="G129" s="400"/>
      <c r="H129" s="400"/>
      <c r="I129" s="542"/>
    </row>
    <row r="130" spans="1:13" x14ac:dyDescent="0.25">
      <c r="A130" s="365" t="s">
        <v>196</v>
      </c>
      <c r="C130" s="594">
        <f>0.133-(2*0.04)</f>
        <v>5.3000000000000005E-2</v>
      </c>
      <c r="D130" s="594">
        <f>0.183-(2*0.04)</f>
        <v>0.10299999999999999</v>
      </c>
      <c r="E130" s="590">
        <v>24</v>
      </c>
      <c r="F130" s="573">
        <f>IF(21&lt;E130,IF(E130&lt;30,100%,80%),80%)</f>
        <v>1</v>
      </c>
      <c r="G130" s="574">
        <f>C130*E130/F130</f>
        <v>1.2720000000000002</v>
      </c>
      <c r="H130" s="574">
        <f>D130*E130/F130</f>
        <v>2.472</v>
      </c>
      <c r="I130" s="590"/>
      <c r="J130" s="400"/>
      <c r="K130" s="400"/>
      <c r="L130" s="423"/>
      <c r="M130" s="423"/>
    </row>
    <row r="131" spans="1:13" x14ac:dyDescent="0.25">
      <c r="A131" s="365" t="s">
        <v>398</v>
      </c>
      <c r="C131" s="596"/>
      <c r="D131" s="596"/>
      <c r="E131" s="590"/>
      <c r="F131" s="573"/>
      <c r="G131" s="400"/>
      <c r="H131" s="400"/>
      <c r="I131" s="590"/>
      <c r="J131" s="400"/>
      <c r="K131" s="400"/>
      <c r="L131" s="423"/>
      <c r="M131" s="423"/>
    </row>
    <row r="132" spans="1:13" ht="13" x14ac:dyDescent="0.3">
      <c r="A132" s="415" t="s">
        <v>197</v>
      </c>
      <c r="B132" s="415" t="s">
        <v>198</v>
      </c>
      <c r="C132" s="596"/>
      <c r="D132" s="596"/>
      <c r="E132" s="562"/>
      <c r="F132" s="608"/>
      <c r="G132" s="609">
        <f>SUM(G130:G131)</f>
        <v>1.2720000000000002</v>
      </c>
      <c r="H132" s="609">
        <f>SUM(H130:H131)</f>
        <v>2.472</v>
      </c>
      <c r="I132" s="610">
        <f>IF(OR($C$109=3,$C$109=4),1,0)</f>
        <v>0</v>
      </c>
      <c r="J132" s="609"/>
      <c r="K132" s="609"/>
      <c r="L132" s="574">
        <f>I132*G132</f>
        <v>0</v>
      </c>
      <c r="M132" s="574">
        <f>I132*H132</f>
        <v>0</v>
      </c>
    </row>
    <row r="133" spans="1:13" x14ac:dyDescent="0.25">
      <c r="C133" s="596"/>
      <c r="D133" s="596"/>
      <c r="G133" s="400"/>
      <c r="H133" s="400"/>
    </row>
    <row r="134" spans="1:13" x14ac:dyDescent="0.25">
      <c r="A134" s="350" t="s">
        <v>199</v>
      </c>
      <c r="C134" s="594">
        <v>0.01</v>
      </c>
      <c r="D134" s="594">
        <v>0.01</v>
      </c>
      <c r="E134" s="590">
        <v>24</v>
      </c>
      <c r="F134" s="573">
        <f>IF(21&lt;E134,IF(E134&lt;30,100%,80%),80%)</f>
        <v>1</v>
      </c>
      <c r="G134" s="574">
        <f>C134*E134/F134</f>
        <v>0.24</v>
      </c>
      <c r="H134" s="574">
        <f>D134*E134/F134</f>
        <v>0.24</v>
      </c>
      <c r="I134" s="590"/>
      <c r="J134" s="400"/>
      <c r="K134" s="400"/>
      <c r="L134" s="423"/>
      <c r="M134" s="423"/>
    </row>
    <row r="135" spans="1:13" ht="13" x14ac:dyDescent="0.3">
      <c r="A135" s="415" t="s">
        <v>200</v>
      </c>
      <c r="B135" s="415" t="s">
        <v>201</v>
      </c>
      <c r="C135" s="596"/>
      <c r="D135" s="596"/>
      <c r="E135" s="562"/>
      <c r="F135" s="608"/>
      <c r="G135" s="609">
        <f>SUM(G134)</f>
        <v>0.24</v>
      </c>
      <c r="H135" s="609">
        <f>SUM(H134)</f>
        <v>0.24</v>
      </c>
      <c r="I135" s="610">
        <f>IF($C$109=5,1,0)</f>
        <v>0</v>
      </c>
      <c r="J135" s="609"/>
      <c r="K135" s="609"/>
      <c r="L135" s="574">
        <f>I135*G135</f>
        <v>0</v>
      </c>
      <c r="M135" s="574">
        <f>I135*H135</f>
        <v>0</v>
      </c>
    </row>
    <row r="136" spans="1:13" ht="13.5" thickBot="1" x14ac:dyDescent="0.35">
      <c r="A136" s="415" t="s">
        <v>543</v>
      </c>
      <c r="B136" s="415"/>
      <c r="C136" s="596">
        <v>3.0000000000000001E-3</v>
      </c>
      <c r="D136" s="596">
        <v>3.0000000000000001E-3</v>
      </c>
      <c r="E136" s="542">
        <v>24</v>
      </c>
      <c r="F136" s="573"/>
      <c r="G136" s="423"/>
      <c r="H136" s="400"/>
      <c r="I136" s="590"/>
      <c r="J136" s="400"/>
      <c r="K136" s="400"/>
      <c r="L136" s="423">
        <f>IF(C109=2, C136*E136,0)</f>
        <v>0</v>
      </c>
      <c r="M136" s="400">
        <f>IF(C109=2, D136*E136,0)</f>
        <v>0</v>
      </c>
    </row>
    <row r="137" spans="1:13" ht="13.5" thickTop="1" x14ac:dyDescent="0.3">
      <c r="A137" s="415"/>
      <c r="B137" s="415"/>
      <c r="C137" s="596"/>
      <c r="D137" s="596"/>
      <c r="E137" s="542"/>
      <c r="F137" s="573"/>
      <c r="G137" s="423"/>
      <c r="H137" s="400"/>
      <c r="I137" s="590"/>
      <c r="J137" s="400"/>
      <c r="K137" s="400"/>
      <c r="L137" s="575" t="str">
        <f>L$25</f>
        <v>P norm [W]</v>
      </c>
      <c r="M137" s="576" t="str">
        <f>M$25</f>
        <v>P alarm [W]</v>
      </c>
    </row>
    <row r="138" spans="1:13" ht="13" thickBot="1" x14ac:dyDescent="0.3">
      <c r="A138" s="350" t="s">
        <v>202</v>
      </c>
      <c r="C138" s="580">
        <f>L138/E138</f>
        <v>9.3199999999999991E-2</v>
      </c>
      <c r="D138" s="580">
        <f>M138/E138</f>
        <v>0.11320000000000001</v>
      </c>
      <c r="E138" s="542">
        <v>24</v>
      </c>
      <c r="F138" s="573"/>
      <c r="I138" s="577"/>
      <c r="J138" s="400"/>
      <c r="K138" s="400"/>
      <c r="L138" s="583">
        <f>SUM(L115:L136)</f>
        <v>2.2367999999999997</v>
      </c>
      <c r="M138" s="584">
        <f>SUM(M115:M136)</f>
        <v>2.7168000000000001</v>
      </c>
    </row>
    <row r="139" spans="1:13" ht="13.5" thickTop="1" x14ac:dyDescent="0.3">
      <c r="A139" s="415"/>
      <c r="B139" s="415"/>
      <c r="C139" s="596"/>
      <c r="D139" s="596"/>
      <c r="E139" s="542"/>
      <c r="F139" s="573"/>
      <c r="G139" s="423"/>
      <c r="H139" s="400"/>
      <c r="I139" s="590"/>
      <c r="J139" s="400"/>
      <c r="K139" s="400"/>
      <c r="L139" s="423"/>
      <c r="M139" s="400"/>
    </row>
    <row r="140" spans="1:13" ht="13" x14ac:dyDescent="0.3">
      <c r="A140" s="415" t="s">
        <v>203</v>
      </c>
      <c r="B140" s="542" t="s">
        <v>115</v>
      </c>
      <c r="C140" s="577" t="s">
        <v>204</v>
      </c>
      <c r="D140" s="577" t="s">
        <v>205</v>
      </c>
      <c r="E140" s="542" t="s">
        <v>206</v>
      </c>
      <c r="F140" s="611"/>
      <c r="G140" s="423"/>
      <c r="H140" s="400"/>
      <c r="I140" s="612"/>
      <c r="J140" s="400"/>
      <c r="K140" s="400"/>
      <c r="L140" s="423"/>
      <c r="M140" s="400"/>
    </row>
    <row r="141" spans="1:13" x14ac:dyDescent="0.25">
      <c r="A141" s="350" t="s">
        <v>207</v>
      </c>
      <c r="B141" s="546">
        <f>SUM(C141:E141)</f>
        <v>4</v>
      </c>
      <c r="C141" s="542">
        <v>3</v>
      </c>
      <c r="D141" s="542">
        <v>1</v>
      </c>
      <c r="E141" s="542">
        <f>I98+2*I99+SUM(I122:I124)</f>
        <v>0</v>
      </c>
      <c r="F141" s="542"/>
      <c r="I141" s="577"/>
      <c r="J141" s="400"/>
      <c r="K141" s="400"/>
      <c r="L141" s="400"/>
      <c r="M141" s="400"/>
    </row>
    <row r="142" spans="1:13" x14ac:dyDescent="0.25">
      <c r="E142" s="542"/>
      <c r="F142" s="542"/>
      <c r="I142" s="577"/>
      <c r="J142" s="400"/>
      <c r="K142" s="400"/>
      <c r="L142" s="400"/>
      <c r="M142" s="400"/>
    </row>
    <row r="143" spans="1:13" ht="13" x14ac:dyDescent="0.3">
      <c r="A143" s="567" t="s">
        <v>208</v>
      </c>
      <c r="B143" s="568"/>
      <c r="C143" s="569"/>
      <c r="D143" s="570"/>
      <c r="E143" s="569"/>
      <c r="F143" s="569"/>
      <c r="G143" s="569"/>
      <c r="H143" s="569"/>
      <c r="I143" s="571"/>
      <c r="J143" s="571"/>
      <c r="K143" s="571"/>
      <c r="L143" s="571"/>
      <c r="M143" s="571"/>
    </row>
    <row r="144" spans="1:13" ht="13" x14ac:dyDescent="0.3">
      <c r="A144" s="415" t="s">
        <v>209</v>
      </c>
      <c r="J144" s="563" t="str">
        <f>J$25</f>
        <v>I norm [A]</v>
      </c>
      <c r="K144" s="563" t="str">
        <f>K$25</f>
        <v>I alarm [A]</v>
      </c>
      <c r="L144" s="563" t="str">
        <f>L$25</f>
        <v>P norm [W]</v>
      </c>
      <c r="M144" s="563" t="str">
        <f>M$25</f>
        <v>P alarm [W]</v>
      </c>
    </row>
    <row r="145" spans="1:13" x14ac:dyDescent="0.25">
      <c r="A145" s="350" t="s">
        <v>55</v>
      </c>
      <c r="C145" s="423"/>
      <c r="D145" s="423"/>
      <c r="E145" s="542"/>
      <c r="J145" s="580">
        <f t="shared" ref="J145:K149" si="25">L145/24</f>
        <v>3.9E-2</v>
      </c>
      <c r="K145" s="580">
        <f t="shared" si="25"/>
        <v>3.9E-2</v>
      </c>
      <c r="L145" s="574">
        <f>IF($B$109="--",0,L32)</f>
        <v>0.93599999999999994</v>
      </c>
      <c r="M145" s="574">
        <f>IF($B$109="--",0,M32)</f>
        <v>0.93599999999999994</v>
      </c>
    </row>
    <row r="146" spans="1:13" x14ac:dyDescent="0.25">
      <c r="A146" s="350" t="s">
        <v>378</v>
      </c>
      <c r="C146" s="423"/>
      <c r="D146" s="423"/>
      <c r="E146" s="542"/>
      <c r="J146" s="580">
        <f>L146/24</f>
        <v>0</v>
      </c>
      <c r="K146" s="580">
        <f>M146/24</f>
        <v>0</v>
      </c>
      <c r="L146" s="574">
        <f>IF($B$109="--",0,L39)</f>
        <v>0</v>
      </c>
      <c r="M146" s="574">
        <f>IF($B$109="--",0,M39)</f>
        <v>0</v>
      </c>
    </row>
    <row r="147" spans="1:13" x14ac:dyDescent="0.25">
      <c r="A147" s="350" t="s">
        <v>114</v>
      </c>
      <c r="C147" s="423"/>
      <c r="D147" s="423"/>
      <c r="E147" s="542"/>
      <c r="J147" s="580">
        <f t="shared" si="25"/>
        <v>0</v>
      </c>
      <c r="K147" s="580">
        <f t="shared" si="25"/>
        <v>0</v>
      </c>
      <c r="L147" s="574">
        <f>IF($B$109="--",0,L70)</f>
        <v>0</v>
      </c>
      <c r="M147" s="574">
        <f>IF($B$109="--",0,M70)</f>
        <v>0</v>
      </c>
    </row>
    <row r="148" spans="1:13" x14ac:dyDescent="0.25">
      <c r="A148" s="350" t="s">
        <v>69</v>
      </c>
      <c r="C148" s="423"/>
      <c r="D148" s="423"/>
      <c r="E148" s="542"/>
      <c r="J148" s="580">
        <f>L148/24</f>
        <v>0</v>
      </c>
      <c r="K148" s="580">
        <f t="shared" si="25"/>
        <v>0</v>
      </c>
      <c r="L148" s="574">
        <f>IF($B$109="--",0,L107)</f>
        <v>0</v>
      </c>
      <c r="M148" s="574">
        <f>IF($B$109="--",0,M107)</f>
        <v>0</v>
      </c>
    </row>
    <row r="149" spans="1:13" x14ac:dyDescent="0.25">
      <c r="A149" s="350" t="s">
        <v>105</v>
      </c>
      <c r="C149" s="423"/>
      <c r="D149" s="423"/>
      <c r="E149" s="542"/>
      <c r="J149" s="580">
        <f t="shared" si="25"/>
        <v>9.3199999999999991E-2</v>
      </c>
      <c r="K149" s="580">
        <f t="shared" si="25"/>
        <v>0.11320000000000001</v>
      </c>
      <c r="L149" s="574">
        <f>IF($B$109="--",0,L138)</f>
        <v>2.2367999999999997</v>
      </c>
      <c r="M149" s="574">
        <f>IF($B$109="--",0,M138)</f>
        <v>2.7168000000000001</v>
      </c>
    </row>
    <row r="150" spans="1:13" ht="13" thickBot="1" x14ac:dyDescent="0.3">
      <c r="L150" s="423"/>
      <c r="M150" s="423"/>
    </row>
    <row r="151" spans="1:13" ht="13.5" thickTop="1" x14ac:dyDescent="0.3">
      <c r="J151" s="575" t="str">
        <f>J$25</f>
        <v>I norm [A]</v>
      </c>
      <c r="K151" s="613" t="str">
        <f>K$25</f>
        <v>I alarm [A]</v>
      </c>
      <c r="L151" s="613" t="str">
        <f>L$25</f>
        <v>P norm [W]</v>
      </c>
      <c r="M151" s="576" t="str">
        <f>M$25</f>
        <v>P alarm [W]</v>
      </c>
    </row>
    <row r="152" spans="1:13" ht="13" thickBot="1" x14ac:dyDescent="0.3">
      <c r="A152" s="350" t="s">
        <v>115</v>
      </c>
      <c r="C152" s="423"/>
      <c r="D152" s="423"/>
      <c r="E152" s="542"/>
      <c r="J152" s="578">
        <f>L152/24</f>
        <v>0.13219999999999998</v>
      </c>
      <c r="K152" s="614">
        <f>M152/24</f>
        <v>0.1522</v>
      </c>
      <c r="L152" s="615">
        <f>SUM(L145:L149)</f>
        <v>3.1727999999999996</v>
      </c>
      <c r="M152" s="584">
        <f>SUM(M145:M149)</f>
        <v>3.6528</v>
      </c>
    </row>
    <row r="153" spans="1:13" ht="13" thickTop="1" x14ac:dyDescent="0.25">
      <c r="C153" s="423"/>
      <c r="D153" s="423"/>
      <c r="E153" s="542"/>
      <c r="J153" s="423"/>
      <c r="K153" s="423"/>
      <c r="L153" s="400"/>
      <c r="M153" s="400"/>
    </row>
    <row r="154" spans="1:13" ht="13.5" thickBot="1" x14ac:dyDescent="0.35">
      <c r="A154" s="567" t="s">
        <v>379</v>
      </c>
      <c r="B154" s="568"/>
      <c r="C154" s="569"/>
      <c r="D154" s="570"/>
      <c r="E154" s="569"/>
      <c r="F154" s="569"/>
      <c r="G154" s="569"/>
      <c r="H154" s="569"/>
      <c r="I154" s="571"/>
      <c r="J154" s="616"/>
      <c r="K154" s="616"/>
      <c r="L154" s="616"/>
      <c r="M154" s="616"/>
    </row>
    <row r="155" spans="1:13" ht="13.5" thickTop="1" x14ac:dyDescent="0.3">
      <c r="A155" s="415" t="s">
        <v>209</v>
      </c>
      <c r="J155" s="575" t="str">
        <f>J$25</f>
        <v>I norm [A]</v>
      </c>
      <c r="K155" s="613" t="str">
        <f>K$25</f>
        <v>I alarm [A]</v>
      </c>
      <c r="L155" s="613" t="str">
        <f>L$25</f>
        <v>P norm [W]</v>
      </c>
      <c r="M155" s="576" t="str">
        <f>M$25</f>
        <v>P alarm [W]</v>
      </c>
    </row>
    <row r="156" spans="1:13" ht="13" thickBot="1" x14ac:dyDescent="0.3">
      <c r="A156" s="350" t="s">
        <v>380</v>
      </c>
      <c r="C156" s="423"/>
      <c r="D156" s="423"/>
      <c r="E156" s="542"/>
      <c r="J156" s="578">
        <f>L156/24</f>
        <v>0</v>
      </c>
      <c r="K156" s="614">
        <f>M156/24</f>
        <v>0</v>
      </c>
      <c r="L156" s="615">
        <v>0</v>
      </c>
      <c r="M156" s="584">
        <v>0</v>
      </c>
    </row>
    <row r="157" spans="1:13" ht="13" thickTop="1" x14ac:dyDescent="0.25">
      <c r="L157" s="423"/>
      <c r="M157" s="423"/>
    </row>
    <row r="158" spans="1:13" ht="13.5" thickBot="1" x14ac:dyDescent="0.35">
      <c r="A158" s="567" t="s">
        <v>381</v>
      </c>
      <c r="B158" s="568"/>
      <c r="C158" s="569"/>
      <c r="D158" s="570"/>
      <c r="E158" s="569"/>
      <c r="F158" s="569"/>
      <c r="G158" s="569"/>
      <c r="H158" s="569"/>
      <c r="I158" s="571"/>
      <c r="J158" s="616"/>
      <c r="K158" s="616"/>
      <c r="L158" s="616"/>
      <c r="M158" s="616"/>
    </row>
    <row r="159" spans="1:13" ht="13.5" thickTop="1" x14ac:dyDescent="0.3">
      <c r="A159" s="415" t="s">
        <v>209</v>
      </c>
      <c r="J159" s="575" t="str">
        <f>J$25</f>
        <v>I norm [A]</v>
      </c>
      <c r="K159" s="613" t="str">
        <f>K$25</f>
        <v>I alarm [A]</v>
      </c>
      <c r="L159" s="613" t="str">
        <f>L$25</f>
        <v>P norm [W]</v>
      </c>
      <c r="M159" s="576" t="str">
        <f>M$25</f>
        <v>P alarm [W]</v>
      </c>
    </row>
    <row r="160" spans="1:13" ht="13" thickBot="1" x14ac:dyDescent="0.3">
      <c r="A160" s="350" t="s">
        <v>382</v>
      </c>
      <c r="C160" s="423"/>
      <c r="D160" s="423"/>
      <c r="E160" s="542"/>
      <c r="J160" s="578">
        <f>L160/24</f>
        <v>0</v>
      </c>
      <c r="K160" s="614">
        <f>M160/24</f>
        <v>0</v>
      </c>
      <c r="L160" s="615">
        <v>0</v>
      </c>
      <c r="M160" s="584">
        <v>0</v>
      </c>
    </row>
    <row r="161" spans="1:13" ht="13" thickTop="1" x14ac:dyDescent="0.25"/>
    <row r="162" spans="1:13" ht="13" x14ac:dyDescent="0.3">
      <c r="A162" s="567" t="s">
        <v>210</v>
      </c>
      <c r="B162" s="568"/>
      <c r="C162" s="569"/>
      <c r="D162" s="570"/>
      <c r="E162" s="569"/>
      <c r="F162" s="569"/>
      <c r="G162" s="569"/>
      <c r="H162" s="569"/>
      <c r="I162" s="571"/>
      <c r="J162" s="571"/>
      <c r="K162" s="571"/>
      <c r="L162" s="571"/>
      <c r="M162" s="571"/>
    </row>
    <row r="164" spans="1:13" x14ac:dyDescent="0.25">
      <c r="A164" s="350" t="s">
        <v>109</v>
      </c>
      <c r="C164" s="604">
        <f>FC360_Panel!D224</f>
        <v>24</v>
      </c>
      <c r="D164" s="350" t="s">
        <v>110</v>
      </c>
    </row>
    <row r="165" spans="1:13" x14ac:dyDescent="0.25">
      <c r="A165" s="350" t="s">
        <v>111</v>
      </c>
      <c r="C165" s="604">
        <f>FC360_Panel!D225</f>
        <v>0.5</v>
      </c>
      <c r="D165" s="350" t="s">
        <v>110</v>
      </c>
    </row>
    <row r="167" spans="1:13" ht="13" x14ac:dyDescent="0.3">
      <c r="A167" s="567" t="s">
        <v>211</v>
      </c>
      <c r="B167" s="568"/>
      <c r="C167" s="569"/>
      <c r="D167" s="570"/>
      <c r="E167" s="569"/>
      <c r="F167" s="569"/>
      <c r="G167" s="569"/>
      <c r="H167" s="569"/>
      <c r="I167" s="569"/>
      <c r="J167" s="569"/>
      <c r="K167" s="569"/>
      <c r="L167" s="569"/>
      <c r="M167" s="569"/>
    </row>
    <row r="169" spans="1:13" x14ac:dyDescent="0.25">
      <c r="A169" s="350" t="s">
        <v>212</v>
      </c>
      <c r="C169" s="574">
        <f>$J$152*0.5+$K$152*$C$165+($J$152-N107/24)*($C$164-0.5)</f>
        <v>3.2488999999999995</v>
      </c>
      <c r="D169" s="350" t="s">
        <v>53</v>
      </c>
    </row>
    <row r="170" spans="1:13" ht="13" thickBot="1" x14ac:dyDescent="0.3">
      <c r="A170" s="350" t="s">
        <v>213</v>
      </c>
      <c r="C170" s="617">
        <f>VLOOKUP($C$164,$B$221:$C$225,2,TRUE)</f>
        <v>1.25</v>
      </c>
    </row>
    <row r="171" spans="1:13" ht="13.5" thickTop="1" thickBot="1" x14ac:dyDescent="0.3">
      <c r="A171" s="350" t="s">
        <v>214</v>
      </c>
      <c r="B171" s="351"/>
      <c r="C171" s="618">
        <f>C169*C170</f>
        <v>4.0611249999999997</v>
      </c>
      <c r="D171" s="619" t="s">
        <v>53</v>
      </c>
    </row>
    <row r="172" spans="1:13" ht="13" thickTop="1" x14ac:dyDescent="0.25">
      <c r="A172" s="350" t="s">
        <v>215</v>
      </c>
      <c r="B172" s="606" t="str">
        <f>VLOOKUP(C171,$E$221:$H$229,3,TRUE)</f>
        <v>FA2003-A1</v>
      </c>
      <c r="C172" s="607">
        <f>IF(C171=0,0,VLOOKUP(C171,$E$221:$H$229,2,TRUE))</f>
        <v>7</v>
      </c>
      <c r="D172" s="350" t="s">
        <v>53</v>
      </c>
      <c r="E172" s="606" t="str">
        <f>VLOOKUP(C171,$E$221:$H$228,4,TRUE)</f>
        <v>A5Q00019353</v>
      </c>
    </row>
    <row r="173" spans="1:13" x14ac:dyDescent="0.25">
      <c r="A173" s="350" t="s">
        <v>49</v>
      </c>
      <c r="C173" s="607" t="str" cm="1">
        <f t="array" ref="C173">VLOOKUP($C$109,Panel_values!$A$85:$L$90,_xlfn.SINGLE(Panel_comp!$D$109)+1,FALSE)</f>
        <v>Compact</v>
      </c>
    </row>
    <row r="174" spans="1:13" x14ac:dyDescent="0.25">
      <c r="A174" s="350" t="s">
        <v>216</v>
      </c>
      <c r="B174" s="606" t="str">
        <f>VLOOKUP(C174,$F$221:$H$229,2,TRUE)</f>
        <v>FA2004-A1</v>
      </c>
      <c r="C174" s="607" cm="1">
        <f t="array" ref="C174">VLOOKUP($C$109,Panel_values!$A$94:$L$100,_xlfn.SINGLE($D$109)+1,FALSE)</f>
        <v>12</v>
      </c>
      <c r="D174" s="350" t="s">
        <v>53</v>
      </c>
      <c r="E174" s="606" t="str">
        <f>VLOOKUP(C174,$F$221:$H$228,3,TRUE)</f>
        <v>A5Q00019354</v>
      </c>
      <c r="J174" s="620"/>
      <c r="K174" s="542"/>
      <c r="L174" s="402"/>
      <c r="M174" s="402"/>
    </row>
    <row r="175" spans="1:13" x14ac:dyDescent="0.25">
      <c r="A175" s="350" t="s">
        <v>217</v>
      </c>
      <c r="B175" s="351"/>
      <c r="C175" s="604">
        <f>FC360_Panel!I246</f>
        <v>3</v>
      </c>
      <c r="I175" s="371"/>
      <c r="K175" s="620"/>
      <c r="L175" s="542"/>
      <c r="M175" s="355"/>
    </row>
    <row r="176" spans="1:13" x14ac:dyDescent="0.25">
      <c r="B176" s="351"/>
      <c r="I176" s="371"/>
      <c r="K176" s="620"/>
      <c r="L176" s="542"/>
      <c r="M176" s="355"/>
    </row>
    <row r="177" spans="1:18" x14ac:dyDescent="0.25">
      <c r="B177" s="351"/>
      <c r="I177" s="371"/>
      <c r="K177" s="620"/>
      <c r="L177" s="542"/>
      <c r="M177" s="355"/>
    </row>
    <row r="178" spans="1:18" ht="13" x14ac:dyDescent="0.3">
      <c r="A178" s="415" t="s">
        <v>119</v>
      </c>
      <c r="D178" s="358"/>
      <c r="E178" s="358"/>
      <c r="I178" s="371"/>
      <c r="K178" s="620"/>
      <c r="L178" s="542"/>
      <c r="M178" s="355"/>
    </row>
    <row r="179" spans="1:18" x14ac:dyDescent="0.25">
      <c r="A179" s="350" t="s">
        <v>218</v>
      </c>
      <c r="C179" s="580">
        <f>IF(C172="no",0,C172/20)</f>
        <v>0.35</v>
      </c>
      <c r="D179" s="358" t="s">
        <v>57</v>
      </c>
      <c r="J179" s="526"/>
      <c r="K179" s="526"/>
      <c r="L179" s="526"/>
      <c r="M179" s="423"/>
      <c r="N179" s="526"/>
      <c r="O179" s="526"/>
      <c r="P179" s="526"/>
      <c r="Q179" s="526"/>
      <c r="R179" s="526"/>
    </row>
    <row r="180" spans="1:18" ht="12.75" customHeight="1" thickBot="1" x14ac:dyDescent="0.3">
      <c r="A180" s="350" t="s">
        <v>219</v>
      </c>
      <c r="C180" s="580">
        <f>MAX($J$152*1.1+C179,$K$152*1.1)</f>
        <v>0.49541999999999997</v>
      </c>
      <c r="D180" s="358" t="s">
        <v>57</v>
      </c>
      <c r="H180" s="423"/>
      <c r="N180" s="526"/>
      <c r="O180" s="526"/>
      <c r="P180" s="526"/>
      <c r="Q180" s="526"/>
      <c r="R180" s="526"/>
    </row>
    <row r="181" spans="1:18" ht="13.5" thickTop="1" thickBot="1" x14ac:dyDescent="0.3">
      <c r="A181" s="350" t="s">
        <v>220</v>
      </c>
      <c r="C181" s="621">
        <f>C180*24</f>
        <v>11.890079999999999</v>
      </c>
      <c r="D181" s="619" t="s">
        <v>51</v>
      </c>
    </row>
    <row r="182" spans="1:18" ht="13" thickTop="1" x14ac:dyDescent="0.25">
      <c r="A182" s="350" t="s">
        <v>221</v>
      </c>
      <c r="B182" s="606" t="str">
        <f>VLOOKUP(C182,$G$234:$I$238,2,TRUE)</f>
        <v>FP2001-A1</v>
      </c>
      <c r="C182" s="607" cm="1">
        <f t="array" ref="C182">VLOOKUP($C$109,Panel_values!$A$67:$L$72,_xlfn.SINGLE($D$109)+1,FALSE)</f>
        <v>70</v>
      </c>
      <c r="D182" s="350" t="s">
        <v>51</v>
      </c>
      <c r="E182" s="606" t="str">
        <f>VLOOKUP(C182,$G$234:$I$238,3,TRUE)</f>
        <v>see docu</v>
      </c>
    </row>
    <row r="183" spans="1:18" x14ac:dyDescent="0.25">
      <c r="A183" s="350" t="s">
        <v>222</v>
      </c>
      <c r="B183" s="606" t="str">
        <f>VLOOKUP(C183,$G$234:$I$238,2,TRUE)</f>
        <v>FP2001-A1</v>
      </c>
      <c r="C183" s="607">
        <f>VLOOKUP(C180,$E$234:$I$239,3,TRUE)</f>
        <v>70</v>
      </c>
      <c r="D183" s="350" t="s">
        <v>51</v>
      </c>
      <c r="E183" s="606" t="str">
        <f>VLOOKUP(C183,$G$234:$I$238,3,TRUE)</f>
        <v>see docu</v>
      </c>
    </row>
    <row r="184" spans="1:18" x14ac:dyDescent="0.25">
      <c r="A184" s="350" t="s">
        <v>49</v>
      </c>
      <c r="C184" s="607" t="str">
        <f>C173</f>
        <v>Compact</v>
      </c>
    </row>
    <row r="185" spans="1:18" x14ac:dyDescent="0.25">
      <c r="A185" s="350" t="s">
        <v>20</v>
      </c>
      <c r="B185" s="606" t="str">
        <f>VLOOKUP(C185,$G$234:$I$238,2,TRUE)</f>
        <v>FP2001-A1</v>
      </c>
      <c r="C185" s="607" cm="1">
        <f t="array" ref="C185">VLOOKUP($C$109,Panel_values!$A$76:$L$81,_xlfn.SINGLE($D$109)+1,FALSE)</f>
        <v>70</v>
      </c>
      <c r="D185" s="350" t="s">
        <v>51</v>
      </c>
      <c r="E185" s="606" t="str">
        <f>VLOOKUP(C185,$G$234:$I$238,3,TRUE)</f>
        <v>see docu</v>
      </c>
    </row>
    <row r="186" spans="1:18" x14ac:dyDescent="0.25">
      <c r="A186" s="350" t="s">
        <v>223</v>
      </c>
      <c r="B186" s="351"/>
      <c r="C186" s="604">
        <f>FC360_Panel!I249</f>
        <v>3</v>
      </c>
    </row>
    <row r="187" spans="1:18" x14ac:dyDescent="0.25">
      <c r="B187" s="351"/>
    </row>
    <row r="189" spans="1:18" ht="13" x14ac:dyDescent="0.3">
      <c r="A189" s="567" t="s">
        <v>383</v>
      </c>
      <c r="B189" s="568"/>
      <c r="C189" s="569"/>
      <c r="D189" s="570"/>
      <c r="E189" s="569"/>
      <c r="F189" s="569"/>
      <c r="G189" s="569"/>
      <c r="H189" s="569"/>
      <c r="I189" s="569"/>
      <c r="J189" s="569"/>
      <c r="K189" s="569"/>
      <c r="L189" s="569"/>
      <c r="M189" s="569"/>
    </row>
    <row r="191" spans="1:18" x14ac:dyDescent="0.25">
      <c r="A191" s="350" t="s">
        <v>212</v>
      </c>
      <c r="C191" s="574">
        <f>$J$156*$C$164+$K$156*$C$165</f>
        <v>0</v>
      </c>
      <c r="D191" s="350" t="s">
        <v>53</v>
      </c>
    </row>
    <row r="192" spans="1:18" ht="13" thickBot="1" x14ac:dyDescent="0.3">
      <c r="A192" s="350" t="s">
        <v>213</v>
      </c>
      <c r="C192" s="617">
        <f>VLOOKUP($C$164,$B$221:$C$225,2,TRUE)</f>
        <v>1.25</v>
      </c>
    </row>
    <row r="193" spans="1:18" ht="13.5" thickTop="1" thickBot="1" x14ac:dyDescent="0.3">
      <c r="A193" s="350" t="s">
        <v>214</v>
      </c>
      <c r="B193" s="351"/>
      <c r="C193" s="618">
        <f>C191*C192</f>
        <v>0</v>
      </c>
      <c r="D193" s="619" t="s">
        <v>53</v>
      </c>
    </row>
    <row r="194" spans="1:18" ht="13" thickTop="1" x14ac:dyDescent="0.25">
      <c r="A194" s="350" t="s">
        <v>215</v>
      </c>
      <c r="B194" s="606" t="str">
        <f>VLOOKUP(C193,$E$221:$H$229,3,TRUE)</f>
        <v>--</v>
      </c>
      <c r="C194" s="607">
        <f>IF(C193=0,0,VLOOKUP(C193,$E$221:$H$229,2,TRUE))</f>
        <v>0</v>
      </c>
      <c r="D194" s="350" t="s">
        <v>53</v>
      </c>
      <c r="E194" s="606" t="str">
        <f>VLOOKUP(C193,$E$221:$H$228,4,TRUE)</f>
        <v/>
      </c>
    </row>
    <row r="195" spans="1:18" x14ac:dyDescent="0.25">
      <c r="B195" s="351"/>
      <c r="I195" s="371"/>
      <c r="J195" s="622"/>
      <c r="K195" s="620"/>
      <c r="L195" s="542"/>
      <c r="M195" s="355"/>
    </row>
    <row r="196" spans="1:18" x14ac:dyDescent="0.25">
      <c r="B196" s="351"/>
      <c r="I196" s="371"/>
      <c r="K196" s="620"/>
      <c r="L196" s="542"/>
      <c r="M196" s="355"/>
    </row>
    <row r="197" spans="1:18" ht="13" x14ac:dyDescent="0.3">
      <c r="A197" s="415" t="s">
        <v>119</v>
      </c>
      <c r="D197" s="358"/>
      <c r="E197" s="358"/>
      <c r="I197" s="371"/>
      <c r="K197" s="620"/>
      <c r="L197" s="542"/>
      <c r="M197" s="355"/>
    </row>
    <row r="198" spans="1:18" x14ac:dyDescent="0.25">
      <c r="A198" s="350" t="s">
        <v>218</v>
      </c>
      <c r="C198" s="580">
        <f>IF(C194="no",0,C194/10)</f>
        <v>0</v>
      </c>
      <c r="D198" s="358" t="s">
        <v>57</v>
      </c>
      <c r="J198" s="526"/>
      <c r="K198" s="526"/>
      <c r="L198" s="526"/>
      <c r="M198" s="423"/>
      <c r="N198" s="526"/>
      <c r="O198" s="526"/>
      <c r="P198" s="526"/>
      <c r="Q198" s="526"/>
      <c r="R198" s="526"/>
    </row>
    <row r="199" spans="1:18" ht="12.75" customHeight="1" thickBot="1" x14ac:dyDescent="0.3">
      <c r="A199" s="350" t="s">
        <v>219</v>
      </c>
      <c r="C199" s="580">
        <f>MAX($J$156*1.1+C198,$K$156*1.1)</f>
        <v>0</v>
      </c>
      <c r="D199" s="358" t="s">
        <v>57</v>
      </c>
      <c r="N199" s="526"/>
      <c r="O199" s="526"/>
      <c r="P199" s="526"/>
      <c r="Q199" s="526"/>
      <c r="R199" s="526"/>
    </row>
    <row r="200" spans="1:18" ht="13.5" thickTop="1" thickBot="1" x14ac:dyDescent="0.3">
      <c r="A200" s="350" t="s">
        <v>220</v>
      </c>
      <c r="C200" s="621">
        <f>C199*24</f>
        <v>0</v>
      </c>
      <c r="D200" s="619" t="s">
        <v>51</v>
      </c>
    </row>
    <row r="201" spans="1:18" ht="13" thickTop="1" x14ac:dyDescent="0.25">
      <c r="A201" s="350" t="s">
        <v>222</v>
      </c>
      <c r="B201" s="606" t="str">
        <f>VLOOKUP(C201,$G$234:$I$238,2,TRUE)</f>
        <v>--</v>
      </c>
      <c r="C201" s="607" t="str">
        <f>VLOOKUP(C199,$E$234:$I$239,3,TRUE)</f>
        <v>--</v>
      </c>
      <c r="D201" s="350" t="s">
        <v>51</v>
      </c>
      <c r="E201" s="606" t="str">
        <f>VLOOKUP(C201,$G$234:$I$238,3,TRUE)</f>
        <v/>
      </c>
    </row>
    <row r="203" spans="1:18" ht="13" x14ac:dyDescent="0.3">
      <c r="A203" s="567" t="s">
        <v>384</v>
      </c>
      <c r="B203" s="568"/>
      <c r="C203" s="569"/>
      <c r="D203" s="570"/>
      <c r="E203" s="569"/>
      <c r="F203" s="569"/>
      <c r="G203" s="569"/>
      <c r="H203" s="569"/>
      <c r="I203" s="569"/>
      <c r="J203" s="569"/>
      <c r="K203" s="569"/>
      <c r="L203" s="569"/>
      <c r="M203" s="569"/>
    </row>
    <row r="205" spans="1:18" x14ac:dyDescent="0.25">
      <c r="A205" s="350" t="s">
        <v>212</v>
      </c>
      <c r="C205" s="574">
        <f>$J$160*$C$164+$K$160*$C$165</f>
        <v>0</v>
      </c>
      <c r="D205" s="350" t="s">
        <v>53</v>
      </c>
    </row>
    <row r="206" spans="1:18" ht="13" thickBot="1" x14ac:dyDescent="0.3">
      <c r="A206" s="350" t="s">
        <v>213</v>
      </c>
      <c r="C206" s="617">
        <f>VLOOKUP($C$164,$B$221:$C$225,2,TRUE)</f>
        <v>1.25</v>
      </c>
    </row>
    <row r="207" spans="1:18" ht="13.5" thickTop="1" thickBot="1" x14ac:dyDescent="0.3">
      <c r="A207" s="350" t="s">
        <v>214</v>
      </c>
      <c r="B207" s="351"/>
      <c r="C207" s="618">
        <f>C205*C206</f>
        <v>0</v>
      </c>
      <c r="D207" s="619" t="s">
        <v>53</v>
      </c>
    </row>
    <row r="208" spans="1:18" ht="13" thickTop="1" x14ac:dyDescent="0.25">
      <c r="A208" s="350" t="s">
        <v>215</v>
      </c>
      <c r="B208" s="606" t="str">
        <f>VLOOKUP(C207,$E$221:$H$229,3,TRUE)</f>
        <v>--</v>
      </c>
      <c r="C208" s="607">
        <f>IF(C207=0,0,VLOOKUP(C207,$E$221:$H$229,2,TRUE))</f>
        <v>0</v>
      </c>
      <c r="D208" s="350" t="s">
        <v>53</v>
      </c>
      <c r="E208" s="606" t="str">
        <f>VLOOKUP(C207,$E$221:$H$228,4,TRUE)</f>
        <v/>
      </c>
    </row>
    <row r="209" spans="1:18" x14ac:dyDescent="0.25">
      <c r="B209" s="351"/>
      <c r="I209" s="371"/>
      <c r="K209" s="620"/>
      <c r="L209" s="542"/>
      <c r="M209" s="355"/>
    </row>
    <row r="210" spans="1:18" x14ac:dyDescent="0.25">
      <c r="B210" s="351"/>
      <c r="I210" s="371"/>
      <c r="K210" s="620"/>
      <c r="L210" s="542"/>
      <c r="M210" s="355"/>
    </row>
    <row r="211" spans="1:18" ht="13" x14ac:dyDescent="0.3">
      <c r="A211" s="415" t="s">
        <v>119</v>
      </c>
      <c r="D211" s="358"/>
      <c r="E211" s="358"/>
      <c r="I211" s="371"/>
      <c r="K211" s="620"/>
      <c r="L211" s="542"/>
      <c r="M211" s="355"/>
    </row>
    <row r="212" spans="1:18" x14ac:dyDescent="0.25">
      <c r="A212" s="350" t="s">
        <v>218</v>
      </c>
      <c r="C212" s="580">
        <f>IF(C208="no",0,C208/10)</f>
        <v>0</v>
      </c>
      <c r="D212" s="358" t="s">
        <v>57</v>
      </c>
      <c r="J212" s="526"/>
      <c r="K212" s="526"/>
      <c r="L212" s="526"/>
      <c r="M212" s="423"/>
      <c r="N212" s="526"/>
      <c r="O212" s="526"/>
      <c r="P212" s="526"/>
      <c r="Q212" s="526"/>
      <c r="R212" s="526"/>
    </row>
    <row r="213" spans="1:18" ht="12.75" customHeight="1" thickBot="1" x14ac:dyDescent="0.3">
      <c r="A213" s="350" t="s">
        <v>219</v>
      </c>
      <c r="C213" s="580">
        <f>MAX($J$160*1.1+C212,$K$160*1.1)</f>
        <v>0</v>
      </c>
      <c r="D213" s="358" t="s">
        <v>57</v>
      </c>
      <c r="N213" s="526"/>
      <c r="O213" s="526"/>
      <c r="P213" s="526"/>
      <c r="Q213" s="526"/>
      <c r="R213" s="526"/>
    </row>
    <row r="214" spans="1:18" ht="13.5" thickTop="1" thickBot="1" x14ac:dyDescent="0.3">
      <c r="A214" s="350" t="s">
        <v>220</v>
      </c>
      <c r="C214" s="621">
        <f>C213*24</f>
        <v>0</v>
      </c>
      <c r="D214" s="619" t="s">
        <v>51</v>
      </c>
    </row>
    <row r="215" spans="1:18" ht="13" thickTop="1" x14ac:dyDescent="0.25">
      <c r="A215" s="350" t="s">
        <v>222</v>
      </c>
      <c r="B215" s="606" t="str">
        <f>VLOOKUP(C215,$G$234:$I$238,2,TRUE)</f>
        <v>--</v>
      </c>
      <c r="C215" s="607" t="str">
        <f>VLOOKUP(C213,$E$234:$I$239,3,TRUE)</f>
        <v>--</v>
      </c>
      <c r="D215" s="350" t="s">
        <v>51</v>
      </c>
      <c r="E215" s="606" t="str">
        <f>VLOOKUP(C215,$G$234:$I$238,3,TRUE)</f>
        <v/>
      </c>
    </row>
    <row r="217" spans="1:18" ht="13" x14ac:dyDescent="0.3">
      <c r="A217" s="567" t="s">
        <v>224</v>
      </c>
      <c r="B217" s="568"/>
      <c r="C217" s="569"/>
      <c r="D217" s="570"/>
      <c r="E217" s="569"/>
      <c r="F217" s="569"/>
      <c r="G217" s="569"/>
      <c r="H217" s="569"/>
      <c r="I217" s="571"/>
      <c r="J217" s="571"/>
      <c r="K217" s="571"/>
      <c r="L217" s="571"/>
      <c r="M217" s="571"/>
    </row>
    <row r="219" spans="1:18" x14ac:dyDescent="0.25">
      <c r="B219" s="350" t="s">
        <v>225</v>
      </c>
      <c r="E219" s="350" t="s">
        <v>226</v>
      </c>
      <c r="K219" s="350" t="s">
        <v>227</v>
      </c>
    </row>
    <row r="220" spans="1:18" ht="13" x14ac:dyDescent="0.3">
      <c r="B220" s="623" t="s">
        <v>228</v>
      </c>
      <c r="C220" s="624" t="s">
        <v>229</v>
      </c>
      <c r="E220" s="625" t="s">
        <v>230</v>
      </c>
      <c r="F220" s="625" t="s">
        <v>230</v>
      </c>
      <c r="G220" s="625" t="s">
        <v>231</v>
      </c>
      <c r="H220" s="626" t="s">
        <v>232</v>
      </c>
      <c r="K220" s="627">
        <v>0</v>
      </c>
      <c r="L220" s="628" t="s">
        <v>233</v>
      </c>
    </row>
    <row r="221" spans="1:18" x14ac:dyDescent="0.25">
      <c r="B221" s="629">
        <v>0</v>
      </c>
      <c r="C221" s="629">
        <f>1.25*1.1</f>
        <v>1.375</v>
      </c>
      <c r="E221" s="630">
        <v>0</v>
      </c>
      <c r="F221" s="631" t="s">
        <v>5</v>
      </c>
      <c r="G221" s="631" t="s">
        <v>5</v>
      </c>
      <c r="H221" s="632" t="s">
        <v>234</v>
      </c>
      <c r="K221" s="627">
        <v>1</v>
      </c>
      <c r="L221" s="628" t="s">
        <v>235</v>
      </c>
    </row>
    <row r="222" spans="1:18" x14ac:dyDescent="0.25">
      <c r="B222" s="629">
        <v>12.1</v>
      </c>
      <c r="C222" s="629">
        <v>1.25</v>
      </c>
      <c r="E222" s="633">
        <v>1E-4</v>
      </c>
      <c r="F222" s="634">
        <v>7</v>
      </c>
      <c r="G222" s="634" t="s">
        <v>236</v>
      </c>
      <c r="H222" s="635" t="s">
        <v>237</v>
      </c>
      <c r="K222" s="627">
        <v>2</v>
      </c>
      <c r="L222" s="628" t="s">
        <v>238</v>
      </c>
    </row>
    <row r="223" spans="1:18" x14ac:dyDescent="0.25">
      <c r="B223" s="629">
        <v>24.1</v>
      </c>
      <c r="C223" s="629">
        <v>1</v>
      </c>
      <c r="E223" s="630">
        <v>7</v>
      </c>
      <c r="F223" s="634">
        <v>12</v>
      </c>
      <c r="G223" s="634" t="s">
        <v>239</v>
      </c>
      <c r="H223" s="635" t="s">
        <v>240</v>
      </c>
      <c r="K223" s="627">
        <v>3</v>
      </c>
      <c r="L223" s="628" t="s">
        <v>241</v>
      </c>
    </row>
    <row r="224" spans="1:18" x14ac:dyDescent="0.25">
      <c r="B224" s="629">
        <v>30.1</v>
      </c>
      <c r="C224" s="629">
        <v>1</v>
      </c>
      <c r="E224" s="630">
        <v>12</v>
      </c>
      <c r="F224" s="634">
        <v>25</v>
      </c>
      <c r="G224" s="634" t="s">
        <v>532</v>
      </c>
      <c r="H224" s="635" t="s">
        <v>533</v>
      </c>
    </row>
    <row r="225" spans="1:12" x14ac:dyDescent="0.25">
      <c r="B225" s="629">
        <v>72.099999999999994</v>
      </c>
      <c r="C225" s="629">
        <v>1</v>
      </c>
      <c r="E225" s="630">
        <v>25</v>
      </c>
      <c r="F225" s="634" t="s">
        <v>534</v>
      </c>
      <c r="G225" s="631" t="s">
        <v>535</v>
      </c>
      <c r="H225" s="632" t="s">
        <v>535</v>
      </c>
    </row>
    <row r="226" spans="1:12" x14ac:dyDescent="0.25">
      <c r="E226" s="630"/>
      <c r="F226" s="634"/>
      <c r="G226" s="634"/>
      <c r="H226" s="635"/>
    </row>
    <row r="227" spans="1:12" x14ac:dyDescent="0.25">
      <c r="E227" s="630"/>
      <c r="F227" s="634"/>
      <c r="G227" s="634"/>
      <c r="H227" s="635"/>
    </row>
    <row r="228" spans="1:12" x14ac:dyDescent="0.25">
      <c r="E228" s="630"/>
      <c r="F228" s="634"/>
      <c r="G228" s="634"/>
      <c r="H228" s="635"/>
    </row>
    <row r="229" spans="1:12" x14ac:dyDescent="0.25">
      <c r="E229" s="630"/>
      <c r="F229" s="634"/>
      <c r="G229" s="631"/>
      <c r="H229" s="631"/>
    </row>
    <row r="232" spans="1:12" x14ac:dyDescent="0.25">
      <c r="E232" s="350" t="s">
        <v>242</v>
      </c>
      <c r="I232" s="423"/>
      <c r="K232" s="350" t="s">
        <v>227</v>
      </c>
    </row>
    <row r="233" spans="1:12" ht="13" x14ac:dyDescent="0.3">
      <c r="E233" s="625" t="s">
        <v>243</v>
      </c>
      <c r="F233" s="625" t="s">
        <v>243</v>
      </c>
      <c r="G233" s="625" t="s">
        <v>244</v>
      </c>
      <c r="H233" s="625" t="s">
        <v>231</v>
      </c>
      <c r="I233" s="626" t="s">
        <v>232</v>
      </c>
      <c r="K233" s="627">
        <v>0</v>
      </c>
      <c r="L233" s="628" t="s">
        <v>245</v>
      </c>
    </row>
    <row r="234" spans="1:12" x14ac:dyDescent="0.25">
      <c r="E234" s="636">
        <v>0</v>
      </c>
      <c r="F234" s="636">
        <v>0</v>
      </c>
      <c r="G234" s="631" t="s">
        <v>5</v>
      </c>
      <c r="H234" s="631" t="s">
        <v>5</v>
      </c>
      <c r="I234" s="632" t="s">
        <v>234</v>
      </c>
      <c r="K234" s="627">
        <v>1</v>
      </c>
      <c r="L234" s="628" t="s">
        <v>246</v>
      </c>
    </row>
    <row r="235" spans="1:12" x14ac:dyDescent="0.25">
      <c r="E235" s="633">
        <v>1E-4</v>
      </c>
      <c r="F235" s="636">
        <f>G235/24</f>
        <v>2.9166666666666665</v>
      </c>
      <c r="G235" s="634">
        <v>70</v>
      </c>
      <c r="H235" s="634" t="s">
        <v>247</v>
      </c>
      <c r="I235" s="635" t="s">
        <v>248</v>
      </c>
      <c r="K235" s="627">
        <v>2</v>
      </c>
      <c r="L235" s="628" t="s">
        <v>238</v>
      </c>
    </row>
    <row r="236" spans="1:12" x14ac:dyDescent="0.25">
      <c r="E236" s="636">
        <f>F235+0.001</f>
        <v>2.9176666666666664</v>
      </c>
      <c r="F236" s="636">
        <f>G236/24</f>
        <v>6.25</v>
      </c>
      <c r="G236" s="634">
        <v>150</v>
      </c>
      <c r="H236" s="634" t="s">
        <v>249</v>
      </c>
      <c r="I236" s="635" t="s">
        <v>248</v>
      </c>
      <c r="K236" s="627">
        <v>3</v>
      </c>
      <c r="L236" s="628" t="s">
        <v>241</v>
      </c>
    </row>
    <row r="237" spans="1:12" ht="13" x14ac:dyDescent="0.3">
      <c r="A237" s="415"/>
      <c r="E237" s="636">
        <f>F236+0.001</f>
        <v>6.2510000000000003</v>
      </c>
      <c r="F237" s="636">
        <f>G237/24</f>
        <v>12.5</v>
      </c>
      <c r="G237" s="634">
        <v>300</v>
      </c>
      <c r="H237" s="634" t="s">
        <v>250</v>
      </c>
      <c r="I237" s="635" t="s">
        <v>248</v>
      </c>
    </row>
    <row r="238" spans="1:12" x14ac:dyDescent="0.25">
      <c r="E238" s="636">
        <f>F237+0.001</f>
        <v>12.500999999999999</v>
      </c>
      <c r="F238" s="636">
        <f>G238/24</f>
        <v>18.75</v>
      </c>
      <c r="G238" s="634">
        <v>450</v>
      </c>
      <c r="H238" s="634" t="s">
        <v>251</v>
      </c>
      <c r="I238" s="635" t="s">
        <v>248</v>
      </c>
    </row>
    <row r="239" spans="1:12" x14ac:dyDescent="0.25">
      <c r="E239" s="636">
        <f>F238+0.001</f>
        <v>18.751000000000001</v>
      </c>
      <c r="F239" s="634"/>
      <c r="G239" s="631" t="s">
        <v>5</v>
      </c>
      <c r="H239" s="631" t="s">
        <v>5</v>
      </c>
      <c r="I239" s="632" t="s">
        <v>5</v>
      </c>
    </row>
  </sheetData>
  <phoneticPr fontId="31" type="noConversion"/>
  <printOptions headings="1"/>
  <pageMargins left="0.78740157480314965" right="0.78740157480314965" top="0.78740157480314965" bottom="0.78740157480314965" header="0.39370078740157483" footer="0.39370078740157483"/>
  <pageSetup paperSize="8" orientation="portrait" r:id="rId1"/>
  <headerFooter alignWithMargins="0">
    <oddHeader>&amp;L&amp;G&amp;RFX2010 Sinteso Quantities Tool</oddHeader>
    <oddFooter>&amp;R&amp;F
&amp;D&amp;LUnrestricted  Building Technologies
Fire Safety + Security Products</oddFooter>
  </headerFooter>
  <drawing r:id="rId2"/>
  <legacyDrawing r:id="rId3"/>
  <legacyDrawingHF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9</vt:i4>
      </vt:variant>
      <vt:variant>
        <vt:lpstr>Named Ranges</vt:lpstr>
      </vt:variant>
      <vt:variant>
        <vt:i4>55</vt:i4>
      </vt:variant>
    </vt:vector>
  </HeadingPairs>
  <TitlesOfParts>
    <vt:vector size="64" baseType="lpstr">
      <vt:lpstr>Cover</vt:lpstr>
      <vt:lpstr>RevisionNotes</vt:lpstr>
      <vt:lpstr>Instructions</vt:lpstr>
      <vt:lpstr>FC360_Panel</vt:lpstr>
      <vt:lpstr>C-NET_Module2</vt:lpstr>
      <vt:lpstr>Panel_values</vt:lpstr>
      <vt:lpstr>FDnet_Ref</vt:lpstr>
      <vt:lpstr>FDnet_Constants</vt:lpstr>
      <vt:lpstr>Panel_comp</vt:lpstr>
      <vt:lpstr>C_FDCL</vt:lpstr>
      <vt:lpstr>CmaxGreatRc</vt:lpstr>
      <vt:lpstr>CmaxSmalRc</vt:lpstr>
      <vt:lpstr>ConvIEx</vt:lpstr>
      <vt:lpstr>ConvUEx</vt:lpstr>
      <vt:lpstr>DC</vt:lpstr>
      <vt:lpstr>I_Eai</vt:lpstr>
      <vt:lpstr>I_Iai</vt:lpstr>
      <vt:lpstr>I_IaiSteadyOn</vt:lpstr>
      <vt:lpstr>Idet</vt:lpstr>
      <vt:lpstr>Ileak</vt:lpstr>
      <vt:lpstr>IleakEx</vt:lpstr>
      <vt:lpstr>FDnet_Constants!IleakModule</vt:lpstr>
      <vt:lpstr>FDnet_Constants!Imax</vt:lpstr>
      <vt:lpstr>Imax</vt:lpstr>
      <vt:lpstr>FDnet_Constants!ImaxStation</vt:lpstr>
      <vt:lpstr>IncCapRc</vt:lpstr>
      <vt:lpstr>MaxAKLoop</vt:lpstr>
      <vt:lpstr>MaxAKModule</vt:lpstr>
      <vt:lpstr>MaxAKStub</vt:lpstr>
      <vt:lpstr>MaxC</vt:lpstr>
      <vt:lpstr>MaxExDevice</vt:lpstr>
      <vt:lpstr>MaxFDCIO_Device</vt:lpstr>
      <vt:lpstr>MaxFRT_FRD_Device</vt:lpstr>
      <vt:lpstr>MaxFT2001_Device</vt:lpstr>
      <vt:lpstr>MaxLengthC</vt:lpstr>
      <vt:lpstr>MaxLengthR</vt:lpstr>
      <vt:lpstr>MaxRadioDevice</vt:lpstr>
      <vt:lpstr>MaxSwingDevice</vt:lpstr>
      <vt:lpstr>N_AI_Ex</vt:lpstr>
      <vt:lpstr>N_Eai</vt:lpstr>
      <vt:lpstr>N_Iai</vt:lpstr>
      <vt:lpstr>N_IaiSteadyOn_GB</vt:lpstr>
      <vt:lpstr>N_IaiSteadyOn_OI</vt:lpstr>
      <vt:lpstr>OperationIndicatorFactor</vt:lpstr>
      <vt:lpstr>'C-NET_Module2'!Print_Area</vt:lpstr>
      <vt:lpstr>Cover!Print_Area</vt:lpstr>
      <vt:lpstr>FDnet_Constants!Print_Area</vt:lpstr>
      <vt:lpstr>FDnet_Ref!Print_Area</vt:lpstr>
      <vt:lpstr>Instructions!Print_Area</vt:lpstr>
      <vt:lpstr>Panel_comp!Print_Area</vt:lpstr>
      <vt:lpstr>RevisionNotes!Print_Area</vt:lpstr>
      <vt:lpstr>Rans</vt:lpstr>
      <vt:lpstr>RansEx</vt:lpstr>
      <vt:lpstr>Rcbl</vt:lpstr>
      <vt:lpstr>Rdet</vt:lpstr>
      <vt:lpstr>Rdet_low</vt:lpstr>
      <vt:lpstr>RlEx</vt:lpstr>
      <vt:lpstr>V_FDCL_ul</vt:lpstr>
      <vt:lpstr>Vans</vt:lpstr>
      <vt:lpstr>Vdet_min</vt:lpstr>
      <vt:lpstr>Vdet_min_AD18</vt:lpstr>
      <vt:lpstr>VdetEx_min</vt:lpstr>
      <vt:lpstr>VdropEx</vt:lpstr>
      <vt:lpstr>Vline_min</vt:lpstr>
    </vt:vector>
  </TitlesOfParts>
  <Company>Siemens Schweiz, Building Technologies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Yang, Yu Jin (SI BP MA BSCE R&amp;D MDI)</dc:creator>
  <cp:keywords>C_Unrestricted</cp:keywords>
  <cp:lastModifiedBy>Zhao, Hai Fang (SI BP MA BSCE R&amp;D ED)</cp:lastModifiedBy>
  <cp:lastPrinted>2010-06-23T06:41:33Z</cp:lastPrinted>
  <dcterms:created xsi:type="dcterms:W3CDTF">2003-03-02T20:05:43Z</dcterms:created>
  <dcterms:modified xsi:type="dcterms:W3CDTF">2020-11-10T01:15:42Z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1683786199</vt:i4>
  </property>
  <property fmtid="{D5CDD505-2E9C-101B-9397-08002B2CF9AE}" pid="3" name="_NewReviewCycle">
    <vt:lpwstr/>
  </property>
  <property fmtid="{D5CDD505-2E9C-101B-9397-08002B2CF9AE}" pid="4" name="_EmailSubject">
    <vt:lpwstr>quantity tool</vt:lpwstr>
  </property>
  <property fmtid="{D5CDD505-2E9C-101B-9397-08002B2CF9AE}" pid="5" name="_AuthorEmail">
    <vt:lpwstr>yujin.yang@siemens.com</vt:lpwstr>
  </property>
  <property fmtid="{D5CDD505-2E9C-101B-9397-08002B2CF9AE}" pid="6" name="_AuthorEmailDisplayName">
    <vt:lpwstr>Yang, Yu Jin (SI BP MA BSCE R&amp;D MDI)</vt:lpwstr>
  </property>
  <property fmtid="{D5CDD505-2E9C-101B-9397-08002B2CF9AE}" pid="7" name="Document Confidentiality">
    <vt:lpwstr>Unrestricted</vt:lpwstr>
  </property>
  <property fmtid="{D5CDD505-2E9C-101B-9397-08002B2CF9AE}" pid="8" name="_PreviousAdHocReviewCycleID">
    <vt:i4>972420588</vt:i4>
  </property>
  <property fmtid="{D5CDD505-2E9C-101B-9397-08002B2CF9AE}" pid="9" name="_ReviewingToolsShownOnce">
    <vt:lpwstr/>
  </property>
  <property fmtid="{D5CDD505-2E9C-101B-9397-08002B2CF9AE}" pid="10" name="MSIP_Label_6f75f480-7803-4ee9-bb54-84d0635fdbe7_Enabled">
    <vt:lpwstr>true</vt:lpwstr>
  </property>
  <property fmtid="{D5CDD505-2E9C-101B-9397-08002B2CF9AE}" pid="11" name="MSIP_Label_6f75f480-7803-4ee9-bb54-84d0635fdbe7_SetDate">
    <vt:lpwstr>2020-11-10T01:15:41Z</vt:lpwstr>
  </property>
  <property fmtid="{D5CDD505-2E9C-101B-9397-08002B2CF9AE}" pid="12" name="MSIP_Label_6f75f480-7803-4ee9-bb54-84d0635fdbe7_Method">
    <vt:lpwstr>Standard</vt:lpwstr>
  </property>
  <property fmtid="{D5CDD505-2E9C-101B-9397-08002B2CF9AE}" pid="13" name="MSIP_Label_6f75f480-7803-4ee9-bb54-84d0635fdbe7_Name">
    <vt:lpwstr>unrestricted</vt:lpwstr>
  </property>
  <property fmtid="{D5CDD505-2E9C-101B-9397-08002B2CF9AE}" pid="14" name="MSIP_Label_6f75f480-7803-4ee9-bb54-84d0635fdbe7_SiteId">
    <vt:lpwstr>38ae3bcd-9579-4fd4-adda-b42e1495d55a</vt:lpwstr>
  </property>
  <property fmtid="{D5CDD505-2E9C-101B-9397-08002B2CF9AE}" pid="15" name="MSIP_Label_6f75f480-7803-4ee9-bb54-84d0635fdbe7_ActionId">
    <vt:lpwstr>76a1a41c-9cb9-4469-828e-e71ceef3ed28</vt:lpwstr>
  </property>
  <property fmtid="{D5CDD505-2E9C-101B-9397-08002B2CF9AE}" pid="16" name="MSIP_Label_6f75f480-7803-4ee9-bb54-84d0635fdbe7_ContentBits">
    <vt:lpwstr>0</vt:lpwstr>
  </property>
  <property fmtid="{D5CDD505-2E9C-101B-9397-08002B2CF9AE}" pid="17" name="Document_Confidentiality">
    <vt:lpwstr>Unrestricted</vt:lpwstr>
  </property>
</Properties>
</file>